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0" windowWidth="15480" windowHeight="8190" tabRatio="538"/>
  </bookViews>
  <sheets>
    <sheet name="Budget_2007" sheetId="1" r:id="rId1"/>
    <sheet name="Monthly_Exp" sheetId="2" r:id="rId2"/>
    <sheet name="Annual_Exp" sheetId="3" r:id="rId3"/>
    <sheet name="Income_Transfers" sheetId="4" r:id="rId4"/>
  </sheets>
  <definedNames>
    <definedName name="_xlnm._FilterDatabase" localSheetId="0" hidden="1">Budget_2007!$E$3:$H$72</definedName>
  </definedNames>
  <calcPr calcId="124519"/>
</workbook>
</file>

<file path=xl/calcChain.xml><?xml version="1.0" encoding="utf-8"?>
<calcChain xmlns="http://schemas.openxmlformats.org/spreadsheetml/2006/main">
  <c r="H3" i="4"/>
  <c r="N21" i="1"/>
  <c r="O21" s="1"/>
  <c r="J4" i="2"/>
  <c r="C5" i="1" s="1"/>
  <c r="C16"/>
  <c r="C20"/>
  <c r="C19"/>
  <c r="C18"/>
  <c r="C17"/>
  <c r="C15"/>
  <c r="C14"/>
  <c r="C13"/>
  <c r="C12"/>
  <c r="C11"/>
  <c r="C10"/>
  <c r="C9"/>
  <c r="G3" i="3"/>
  <c r="C3" i="1"/>
  <c r="C6"/>
  <c r="M14"/>
  <c r="I14" s="1"/>
  <c r="M15"/>
  <c r="I15" s="1"/>
  <c r="M16"/>
  <c r="M17"/>
  <c r="I17" s="1"/>
  <c r="M18"/>
  <c r="I18" s="1"/>
  <c r="M19"/>
  <c r="I19" s="1"/>
  <c r="K3"/>
  <c r="J23"/>
  <c r="K23"/>
  <c r="J4"/>
  <c r="M23"/>
  <c r="J24"/>
  <c r="K24"/>
  <c r="J5"/>
  <c r="M24"/>
  <c r="C25"/>
  <c r="J25"/>
  <c r="K25"/>
  <c r="J6"/>
  <c r="M25"/>
  <c r="J26"/>
  <c r="K26"/>
  <c r="J7"/>
  <c r="M26"/>
  <c r="J27"/>
  <c r="K27"/>
  <c r="J8"/>
  <c r="M27"/>
  <c r="J28"/>
  <c r="K28"/>
  <c r="J9"/>
  <c r="M28"/>
  <c r="C31"/>
  <c r="C30"/>
  <c r="C32"/>
  <c r="J32"/>
  <c r="K32"/>
  <c r="L32"/>
  <c r="J33"/>
  <c r="K33"/>
  <c r="L33"/>
  <c r="O33"/>
  <c r="I33" s="1"/>
  <c r="J34"/>
  <c r="K34"/>
  <c r="J35"/>
  <c r="K35"/>
  <c r="L35"/>
  <c r="O35"/>
  <c r="I35" s="1"/>
  <c r="J36"/>
  <c r="K36"/>
  <c r="L36"/>
  <c r="O36"/>
  <c r="I36" s="1"/>
  <c r="J37"/>
  <c r="K37"/>
  <c r="L37"/>
  <c r="F4" i="2"/>
  <c r="J3"/>
  <c r="G4"/>
  <c r="J5"/>
  <c r="C4" i="1"/>
  <c r="C24"/>
  <c r="C26"/>
  <c r="C38"/>
  <c r="N17" l="1"/>
  <c r="N14"/>
  <c r="L23"/>
  <c r="N23" s="1"/>
  <c r="L24"/>
  <c r="N24" s="1"/>
  <c r="L26"/>
  <c r="N26" s="1"/>
  <c r="L27"/>
  <c r="N27" s="1"/>
  <c r="L28"/>
  <c r="N28" s="1"/>
  <c r="O37" s="1"/>
  <c r="I37" s="1"/>
  <c r="N19"/>
  <c r="N18"/>
  <c r="N16"/>
  <c r="M34" s="1"/>
  <c r="N15"/>
  <c r="C36"/>
  <c r="C42"/>
  <c r="O32"/>
  <c r="I32" s="1"/>
  <c r="O17"/>
  <c r="M35"/>
  <c r="N35" s="1"/>
  <c r="O27"/>
  <c r="M8" s="1"/>
  <c r="I27"/>
  <c r="O28"/>
  <c r="O26"/>
  <c r="O24"/>
  <c r="O23"/>
  <c r="M4" s="1"/>
  <c r="L4"/>
  <c r="O15" l="1"/>
  <c r="M33"/>
  <c r="N33" s="1"/>
  <c r="O18"/>
  <c r="M36"/>
  <c r="N36" s="1"/>
  <c r="O19"/>
  <c r="M37"/>
  <c r="N37" s="1"/>
  <c r="O14"/>
  <c r="M32"/>
  <c r="N32" s="1"/>
  <c r="M9"/>
  <c r="L9"/>
  <c r="L8"/>
  <c r="M7"/>
  <c r="L7"/>
  <c r="M5"/>
  <c r="L5"/>
  <c r="I9"/>
  <c r="I7"/>
  <c r="I5"/>
  <c r="I4"/>
  <c r="I8"/>
  <c r="I24"/>
  <c r="I26"/>
  <c r="I28"/>
  <c r="I23"/>
  <c r="H4" i="4"/>
  <c r="C35" i="1" l="1"/>
  <c r="C41" l="1"/>
  <c r="C37"/>
  <c r="L16" l="1"/>
  <c r="I16" s="1"/>
  <c r="C43"/>
  <c r="C44" s="1"/>
  <c r="J10" l="1"/>
  <c r="O16"/>
  <c r="L25"/>
  <c r="L34"/>
  <c r="N34" s="1"/>
  <c r="M3" s="1"/>
  <c r="O34"/>
  <c r="I34" s="1"/>
  <c r="O12" l="1"/>
  <c r="O25"/>
  <c r="M6" s="1"/>
  <c r="N25"/>
  <c r="L6" l="1"/>
  <c r="I6"/>
  <c r="I25"/>
</calcChain>
</file>

<file path=xl/sharedStrings.xml><?xml version="1.0" encoding="utf-8"?>
<sst xmlns="http://schemas.openxmlformats.org/spreadsheetml/2006/main" count="119" uniqueCount="80">
  <si>
    <t>Expenses</t>
  </si>
  <si>
    <t>Variadic</t>
  </si>
  <si>
    <t>Message Box</t>
  </si>
  <si>
    <t>Version:</t>
  </si>
  <si>
    <t>Year:</t>
  </si>
  <si>
    <t>Variadic:</t>
  </si>
  <si>
    <t>Amount</t>
  </si>
  <si>
    <t>Description</t>
  </si>
  <si>
    <t>Code</t>
  </si>
  <si>
    <t>Date</t>
  </si>
  <si>
    <t>Today is</t>
  </si>
  <si>
    <t>Monthly:</t>
  </si>
  <si>
    <t>GROC</t>
  </si>
  <si>
    <t>expenses are</t>
  </si>
  <si>
    <t>Annual:</t>
  </si>
  <si>
    <t>Income</t>
  </si>
  <si>
    <t>January:</t>
  </si>
  <si>
    <t>February:</t>
  </si>
  <si>
    <t>TECH</t>
  </si>
  <si>
    <t>March:</t>
  </si>
  <si>
    <t>April:</t>
  </si>
  <si>
    <t>Projections</t>
  </si>
  <si>
    <t>Projected Excess:</t>
  </si>
  <si>
    <t>May:</t>
  </si>
  <si>
    <t>Budgeted</t>
  </si>
  <si>
    <t>Current</t>
  </si>
  <si>
    <t>Proj. Exp</t>
  </si>
  <si>
    <t>Proj. Diff</t>
  </si>
  <si>
    <t>June:</t>
  </si>
  <si>
    <t>July:</t>
  </si>
  <si>
    <t>Technical</t>
  </si>
  <si>
    <t>August:</t>
  </si>
  <si>
    <t>CHAR</t>
  </si>
  <si>
    <t>Charity</t>
  </si>
  <si>
    <t>September:</t>
  </si>
  <si>
    <t>MISC</t>
  </si>
  <si>
    <t>SCHL</t>
  </si>
  <si>
    <t>School</t>
  </si>
  <si>
    <t>October:</t>
  </si>
  <si>
    <t>November:</t>
  </si>
  <si>
    <t>General</t>
  </si>
  <si>
    <t>December:</t>
  </si>
  <si>
    <t>Today's Date:</t>
  </si>
  <si>
    <t>Actual</t>
  </si>
  <si>
    <t>Diff</t>
  </si>
  <si>
    <t>Percent</t>
  </si>
  <si>
    <t>Closing_2006:</t>
  </si>
  <si>
    <t>Flow:</t>
  </si>
  <si>
    <t>Interest:</t>
  </si>
  <si>
    <t>Closing_2007:</t>
  </si>
  <si>
    <t>Daily Averages</t>
  </si>
  <si>
    <t>Stable On</t>
  </si>
  <si>
    <t>Total</t>
  </si>
  <si>
    <t>IN:</t>
  </si>
  <si>
    <t>OUT:</t>
  </si>
  <si>
    <t>FLOW:</t>
  </si>
  <si>
    <t>TOTAL:</t>
  </si>
  <si>
    <t>Monthly Expenses</t>
  </si>
  <si>
    <t>Totals</t>
  </si>
  <si>
    <t>Start</t>
  </si>
  <si>
    <t>End</t>
  </si>
  <si>
    <t>To Date</t>
  </si>
  <si>
    <t>This year:</t>
  </si>
  <si>
    <t>Cell phone</t>
  </si>
  <si>
    <t>So far:</t>
  </si>
  <si>
    <t>Annual Expenses</t>
  </si>
  <si>
    <t>Source</t>
  </si>
  <si>
    <t>Account</t>
  </si>
  <si>
    <t>This month:</t>
  </si>
  <si>
    <t>Amnt</t>
  </si>
  <si>
    <t>WORK</t>
  </si>
  <si>
    <t>Work</t>
  </si>
  <si>
    <t>Fast food</t>
  </si>
  <si>
    <t>(This month):</t>
  </si>
  <si>
    <t>Sample expense</t>
  </si>
  <si>
    <t>Textbooks</t>
  </si>
  <si>
    <t>Job</t>
  </si>
  <si>
    <t>Bank 1</t>
  </si>
  <si>
    <t>Bank 2</t>
  </si>
  <si>
    <t>Start Date:</t>
  </si>
</sst>
</file>

<file path=xl/styles.xml><?xml version="1.0" encoding="utf-8"?>
<styleSheet xmlns="http://schemas.openxmlformats.org/spreadsheetml/2006/main">
  <numFmts count="12">
    <numFmt numFmtId="164" formatCode="\$#,##0.00;[Red]\$#,##0.00"/>
    <numFmt numFmtId="165" formatCode="mmm\ d"/>
    <numFmt numFmtId="166" formatCode="#,##0.00;[Red]#,##0.00"/>
    <numFmt numFmtId="167" formatCode="dddd&quot;, &quot;mmmm\ d\."/>
    <numFmt numFmtId="168" formatCode="mmmm\ d"/>
    <numFmt numFmtId="169" formatCode="\(0.0%\)"/>
    <numFmt numFmtId="170" formatCode="_(\$* #,##0.00_);_(\$* \(#,##0.00\);_(\$* \-??_);_(@_)"/>
    <numFmt numFmtId="171" formatCode="d/m/yyyy"/>
    <numFmt numFmtId="172" formatCode="\$#,##0.00_);[Red]&quot;($&quot;#,##0.00\)"/>
    <numFmt numFmtId="173" formatCode="yyyy\-mm\-dd;@"/>
    <numFmt numFmtId="174" formatCode="&quot;$&quot;#,##0.00;[Red]&quot;$&quot;#,##0.00"/>
    <numFmt numFmtId="175" formatCode="mmm\ dd"/>
  </numFmts>
  <fonts count="8"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6" tint="-0.249977111117893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i/>
      <sz val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3" tint="0.59999389629810485"/>
        <bgColor indexed="31"/>
      </patternFill>
    </fill>
    <fill>
      <patternFill patternType="solid">
        <fgColor theme="6" tint="0.39997558519241921"/>
        <bgColor indexed="41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2"/>
      </patternFill>
    </fill>
    <fill>
      <patternFill patternType="solid">
        <fgColor theme="0" tint="-0.14999847407452621"/>
        <bgColor indexed="24"/>
      </patternFill>
    </fill>
    <fill>
      <patternFill patternType="solid">
        <fgColor theme="2" tint="-0.249977111117893"/>
        <bgColor indexed="23"/>
      </patternFill>
    </fill>
    <fill>
      <patternFill patternType="solid">
        <fgColor theme="2" tint="-9.9978637043366805E-2"/>
        <bgColor indexed="31"/>
      </patternFill>
    </fill>
    <fill>
      <patternFill patternType="solid">
        <fgColor theme="5" tint="0.59999389629810485"/>
        <bgColor indexed="4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4.9989318521683403E-2"/>
        <bgColor indexed="26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170" fontId="1" fillId="0" borderId="0" applyFill="0" applyBorder="0" applyAlignment="0" applyProtection="0"/>
  </cellStyleXfs>
  <cellXfs count="155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2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4" fontId="3" fillId="2" borderId="10" xfId="0" applyNumberFormat="1" applyFont="1" applyFill="1" applyBorder="1" applyAlignment="1">
      <alignment horizontal="right"/>
    </xf>
    <xf numFmtId="166" fontId="2" fillId="2" borderId="1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64" fontId="2" fillId="2" borderId="20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4" fontId="2" fillId="2" borderId="21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4" fontId="3" fillId="0" borderId="0" xfId="0" applyNumberFormat="1" applyFont="1"/>
    <xf numFmtId="168" fontId="2" fillId="0" borderId="0" xfId="0" applyNumberFormat="1" applyFont="1" applyAlignment="1">
      <alignment horizontal="center"/>
    </xf>
    <xf numFmtId="169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left"/>
    </xf>
    <xf numFmtId="165" fontId="2" fillId="2" borderId="14" xfId="0" applyNumberFormat="1" applyFont="1" applyFill="1" applyBorder="1" applyAlignment="1">
      <alignment horizontal="center"/>
    </xf>
    <xf numFmtId="165" fontId="2" fillId="0" borderId="0" xfId="0" applyNumberFormat="1" applyFont="1"/>
    <xf numFmtId="164" fontId="2" fillId="0" borderId="0" xfId="0" applyNumberFormat="1" applyFont="1" applyFill="1"/>
    <xf numFmtId="164" fontId="2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/>
    <xf numFmtId="0" fontId="2" fillId="0" borderId="0" xfId="0" applyFont="1" applyFill="1" applyBorder="1"/>
    <xf numFmtId="0" fontId="3" fillId="0" borderId="0" xfId="0" applyFont="1" applyBorder="1" applyAlignment="1">
      <alignment horizontal="right"/>
    </xf>
    <xf numFmtId="0" fontId="2" fillId="2" borderId="27" xfId="0" applyFont="1" applyFill="1" applyBorder="1" applyAlignment="1">
      <alignment horizontal="center"/>
    </xf>
    <xf numFmtId="10" fontId="2" fillId="2" borderId="28" xfId="0" applyNumberFormat="1" applyFont="1" applyFill="1" applyBorder="1" applyAlignment="1">
      <alignment horizontal="center"/>
    </xf>
    <xf numFmtId="171" fontId="2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center"/>
    </xf>
    <xf numFmtId="171" fontId="3" fillId="0" borderId="0" xfId="0" applyNumberFormat="1" applyFont="1" applyAlignment="1">
      <alignment horizontal="center"/>
    </xf>
    <xf numFmtId="17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Border="1"/>
    <xf numFmtId="171" fontId="2" fillId="0" borderId="0" xfId="0" applyNumberFormat="1" applyFont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171" fontId="2" fillId="0" borderId="1" xfId="0" applyNumberFormat="1" applyFont="1" applyBorder="1" applyAlignment="1">
      <alignment horizontal="center"/>
    </xf>
    <xf numFmtId="17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164" fontId="2" fillId="2" borderId="28" xfId="0" applyNumberFormat="1" applyFont="1" applyFill="1" applyBorder="1" applyAlignment="1">
      <alignment horizontal="center"/>
    </xf>
    <xf numFmtId="16" fontId="2" fillId="0" borderId="0" xfId="0" applyNumberFormat="1" applyFont="1"/>
    <xf numFmtId="0" fontId="3" fillId="0" borderId="0" xfId="0" applyFont="1" applyAlignment="1">
      <alignment horizontal="left"/>
    </xf>
    <xf numFmtId="165" fontId="3" fillId="0" borderId="0" xfId="0" applyNumberFormat="1" applyFont="1" applyAlignment="1">
      <alignment horizontal="left"/>
    </xf>
    <xf numFmtId="10" fontId="2" fillId="0" borderId="0" xfId="0" applyNumberFormat="1" applyFont="1" applyAlignment="1">
      <alignment horizontal="right"/>
    </xf>
    <xf numFmtId="0" fontId="3" fillId="3" borderId="2" xfId="0" applyFont="1" applyFill="1" applyBorder="1" applyAlignment="1">
      <alignment horizontal="right"/>
    </xf>
    <xf numFmtId="164" fontId="2" fillId="3" borderId="4" xfId="0" applyNumberFormat="1" applyFont="1" applyFill="1" applyBorder="1"/>
    <xf numFmtId="0" fontId="3" fillId="3" borderId="13" xfId="0" applyFont="1" applyFill="1" applyBorder="1" applyAlignment="1">
      <alignment horizontal="right"/>
    </xf>
    <xf numFmtId="164" fontId="2" fillId="3" borderId="14" xfId="0" applyNumberFormat="1" applyFont="1" applyFill="1" applyBorder="1"/>
    <xf numFmtId="0" fontId="2" fillId="3" borderId="13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164" fontId="2" fillId="3" borderId="5" xfId="0" applyNumberFormat="1" applyFont="1" applyFill="1" applyBorder="1"/>
    <xf numFmtId="0" fontId="3" fillId="4" borderId="2" xfId="0" applyFont="1" applyFill="1" applyBorder="1" applyAlignment="1">
      <alignment horizontal="right"/>
    </xf>
    <xf numFmtId="164" fontId="2" fillId="4" borderId="4" xfId="0" applyNumberFormat="1" applyFont="1" applyFill="1" applyBorder="1"/>
    <xf numFmtId="0" fontId="3" fillId="4" borderId="13" xfId="0" applyFont="1" applyFill="1" applyBorder="1" applyAlignment="1">
      <alignment horizontal="right"/>
    </xf>
    <xf numFmtId="164" fontId="2" fillId="4" borderId="14" xfId="0" applyNumberFormat="1" applyFont="1" applyFill="1" applyBorder="1"/>
    <xf numFmtId="0" fontId="3" fillId="4" borderId="3" xfId="0" applyFont="1" applyFill="1" applyBorder="1" applyAlignment="1">
      <alignment horizontal="right"/>
    </xf>
    <xf numFmtId="164" fontId="2" fillId="4" borderId="5" xfId="0" applyNumberFormat="1" applyFont="1" applyFill="1" applyBorder="1"/>
    <xf numFmtId="0" fontId="3" fillId="6" borderId="2" xfId="0" applyFont="1" applyFill="1" applyBorder="1" applyAlignment="1">
      <alignment horizontal="right"/>
    </xf>
    <xf numFmtId="164" fontId="2" fillId="6" borderId="4" xfId="0" applyNumberFormat="1" applyFont="1" applyFill="1" applyBorder="1"/>
    <xf numFmtId="0" fontId="3" fillId="6" borderId="13" xfId="0" applyFont="1" applyFill="1" applyBorder="1" applyAlignment="1">
      <alignment horizontal="right"/>
    </xf>
    <xf numFmtId="164" fontId="2" fillId="6" borderId="14" xfId="0" applyNumberFormat="1" applyFont="1" applyFill="1" applyBorder="1"/>
    <xf numFmtId="0" fontId="3" fillId="6" borderId="3" xfId="0" applyFont="1" applyFill="1" applyBorder="1" applyAlignment="1">
      <alignment horizontal="right"/>
    </xf>
    <xf numFmtId="164" fontId="2" fillId="6" borderId="5" xfId="0" applyNumberFormat="1" applyFont="1" applyFill="1" applyBorder="1"/>
    <xf numFmtId="164" fontId="2" fillId="6" borderId="14" xfId="1" applyNumberFormat="1" applyFont="1" applyFill="1" applyBorder="1" applyAlignment="1" applyProtection="1"/>
    <xf numFmtId="0" fontId="3" fillId="7" borderId="23" xfId="0" applyFont="1" applyFill="1" applyBorder="1" applyAlignment="1">
      <alignment horizontal="right"/>
    </xf>
    <xf numFmtId="164" fontId="2" fillId="7" borderId="26" xfId="0" applyNumberFormat="1" applyFont="1" applyFill="1" applyBorder="1"/>
    <xf numFmtId="0" fontId="3" fillId="7" borderId="27" xfId="0" applyFont="1" applyFill="1" applyBorder="1" applyAlignment="1">
      <alignment horizontal="right"/>
    </xf>
    <xf numFmtId="164" fontId="2" fillId="7" borderId="28" xfId="0" applyNumberFormat="1" applyFont="1" applyFill="1" applyBorder="1"/>
    <xf numFmtId="0" fontId="3" fillId="7" borderId="29" xfId="0" applyFont="1" applyFill="1" applyBorder="1" applyAlignment="1">
      <alignment horizontal="right"/>
    </xf>
    <xf numFmtId="164" fontId="2" fillId="7" borderId="32" xfId="0" applyNumberFormat="1" applyFont="1" applyFill="1" applyBorder="1"/>
    <xf numFmtId="0" fontId="3" fillId="8" borderId="23" xfId="0" applyFont="1" applyFill="1" applyBorder="1" applyAlignment="1">
      <alignment horizontal="right"/>
    </xf>
    <xf numFmtId="164" fontId="2" fillId="8" borderId="26" xfId="0" applyNumberFormat="1" applyFont="1" applyFill="1" applyBorder="1"/>
    <xf numFmtId="0" fontId="3" fillId="8" borderId="27" xfId="0" applyFont="1" applyFill="1" applyBorder="1" applyAlignment="1">
      <alignment horizontal="right"/>
    </xf>
    <xf numFmtId="164" fontId="2" fillId="8" borderId="28" xfId="0" applyNumberFormat="1" applyFont="1" applyFill="1" applyBorder="1"/>
    <xf numFmtId="0" fontId="3" fillId="8" borderId="29" xfId="0" applyFont="1" applyFill="1" applyBorder="1" applyAlignment="1">
      <alignment horizontal="right"/>
    </xf>
    <xf numFmtId="164" fontId="2" fillId="8" borderId="32" xfId="0" applyNumberFormat="1" applyFont="1" applyFill="1" applyBorder="1"/>
    <xf numFmtId="164" fontId="3" fillId="0" borderId="0" xfId="0" applyNumberFormat="1" applyFont="1" applyAlignment="1">
      <alignment horizontal="left"/>
    </xf>
    <xf numFmtId="0" fontId="3" fillId="9" borderId="23" xfId="0" applyFont="1" applyFill="1" applyBorder="1" applyAlignment="1">
      <alignment horizontal="center"/>
    </xf>
    <xf numFmtId="0" fontId="3" fillId="9" borderId="24" xfId="0" applyFont="1" applyFill="1" applyBorder="1" applyAlignment="1">
      <alignment horizontal="center"/>
    </xf>
    <xf numFmtId="164" fontId="3" fillId="9" borderId="25" xfId="0" applyNumberFormat="1" applyFont="1" applyFill="1" applyBorder="1" applyAlignment="1">
      <alignment horizontal="center"/>
    </xf>
    <xf numFmtId="164" fontId="3" fillId="9" borderId="24" xfId="0" applyNumberFormat="1" applyFont="1" applyFill="1" applyBorder="1" applyAlignment="1">
      <alignment horizontal="center"/>
    </xf>
    <xf numFmtId="0" fontId="3" fillId="9" borderId="26" xfId="0" applyFont="1" applyFill="1" applyBorder="1" applyAlignment="1">
      <alignment horizontal="center"/>
    </xf>
    <xf numFmtId="0" fontId="2" fillId="10" borderId="27" xfId="0" applyFont="1" applyFill="1" applyBorder="1" applyAlignment="1">
      <alignment horizontal="center"/>
    </xf>
    <xf numFmtId="0" fontId="2" fillId="10" borderId="0" xfId="0" applyFont="1" applyFill="1" applyBorder="1" applyAlignment="1">
      <alignment horizontal="center"/>
    </xf>
    <xf numFmtId="164" fontId="2" fillId="10" borderId="20" xfId="0" applyNumberFormat="1" applyFont="1" applyFill="1" applyBorder="1" applyAlignment="1">
      <alignment horizontal="center"/>
    </xf>
    <xf numFmtId="164" fontId="2" fillId="10" borderId="0" xfId="0" applyNumberFormat="1" applyFont="1" applyFill="1" applyBorder="1" applyAlignment="1">
      <alignment horizontal="center"/>
    </xf>
    <xf numFmtId="164" fontId="2" fillId="10" borderId="28" xfId="0" applyNumberFormat="1" applyFont="1" applyFill="1" applyBorder="1" applyAlignment="1">
      <alignment horizontal="center"/>
    </xf>
    <xf numFmtId="164" fontId="2" fillId="10" borderId="21" xfId="0" applyNumberFormat="1" applyFont="1" applyFill="1" applyBorder="1" applyAlignment="1">
      <alignment horizontal="center"/>
    </xf>
    <xf numFmtId="0" fontId="2" fillId="10" borderId="29" xfId="0" applyFont="1" applyFill="1" applyBorder="1" applyAlignment="1">
      <alignment horizontal="center"/>
    </xf>
    <xf numFmtId="0" fontId="2" fillId="10" borderId="30" xfId="0" applyFont="1" applyFill="1" applyBorder="1" applyAlignment="1">
      <alignment horizontal="center"/>
    </xf>
    <xf numFmtId="164" fontId="2" fillId="10" borderId="31" xfId="0" applyNumberFormat="1" applyFont="1" applyFill="1" applyBorder="1" applyAlignment="1">
      <alignment horizontal="center"/>
    </xf>
    <xf numFmtId="164" fontId="2" fillId="10" borderId="30" xfId="0" applyNumberFormat="1" applyFont="1" applyFill="1" applyBorder="1" applyAlignment="1">
      <alignment horizontal="center"/>
    </xf>
    <xf numFmtId="164" fontId="2" fillId="10" borderId="32" xfId="0" applyNumberFormat="1" applyFont="1" applyFill="1" applyBorder="1" applyAlignment="1">
      <alignment horizontal="center"/>
    </xf>
    <xf numFmtId="10" fontId="2" fillId="10" borderId="28" xfId="0" applyNumberFormat="1" applyFont="1" applyFill="1" applyBorder="1" applyAlignment="1">
      <alignment horizontal="center"/>
    </xf>
    <xf numFmtId="10" fontId="2" fillId="10" borderId="32" xfId="0" applyNumberFormat="1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3" fillId="9" borderId="19" xfId="0" applyFont="1" applyFill="1" applyBorder="1" applyAlignment="1">
      <alignment horizontal="center"/>
    </xf>
    <xf numFmtId="164" fontId="3" fillId="9" borderId="12" xfId="0" applyNumberFormat="1" applyFont="1" applyFill="1" applyBorder="1" applyAlignment="1">
      <alignment horizontal="center"/>
    </xf>
    <xf numFmtId="164" fontId="3" fillId="9" borderId="19" xfId="0" applyNumberFormat="1" applyFont="1" applyFill="1" applyBorder="1" applyAlignment="1">
      <alignment horizontal="center"/>
    </xf>
    <xf numFmtId="0" fontId="3" fillId="9" borderId="4" xfId="0" applyFont="1" applyFill="1" applyBorder="1" applyAlignment="1">
      <alignment horizontal="center"/>
    </xf>
    <xf numFmtId="0" fontId="2" fillId="10" borderId="13" xfId="0" applyFont="1" applyFill="1" applyBorder="1" applyAlignment="1">
      <alignment horizontal="center"/>
    </xf>
    <xf numFmtId="165" fontId="2" fillId="10" borderId="14" xfId="0" applyNumberFormat="1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164" fontId="2" fillId="10" borderId="22" xfId="0" applyNumberFormat="1" applyFont="1" applyFill="1" applyBorder="1" applyAlignment="1">
      <alignment horizontal="center"/>
    </xf>
    <xf numFmtId="164" fontId="2" fillId="10" borderId="1" xfId="0" applyNumberFormat="1" applyFont="1" applyFill="1" applyBorder="1" applyAlignment="1">
      <alignment horizontal="center"/>
    </xf>
    <xf numFmtId="165" fontId="2" fillId="10" borderId="5" xfId="0" applyNumberFormat="1" applyFont="1" applyFill="1" applyBorder="1" applyAlignment="1">
      <alignment horizontal="center"/>
    </xf>
    <xf numFmtId="0" fontId="3" fillId="11" borderId="2" xfId="0" applyFont="1" applyFill="1" applyBorder="1" applyAlignment="1">
      <alignment horizontal="right"/>
    </xf>
    <xf numFmtId="0" fontId="3" fillId="11" borderId="3" xfId="0" applyFont="1" applyFill="1" applyBorder="1" applyAlignment="1">
      <alignment horizontal="right"/>
    </xf>
    <xf numFmtId="164" fontId="2" fillId="11" borderId="5" xfId="0" applyNumberFormat="1" applyFont="1" applyFill="1" applyBorder="1" applyAlignment="1">
      <alignment horizontal="right"/>
    </xf>
    <xf numFmtId="0" fontId="3" fillId="12" borderId="6" xfId="0" applyFont="1" applyFill="1" applyBorder="1" applyAlignment="1">
      <alignment horizontal="right"/>
    </xf>
    <xf numFmtId="172" fontId="2" fillId="12" borderId="7" xfId="0" applyNumberFormat="1" applyFont="1" applyFill="1" applyBorder="1" applyAlignment="1">
      <alignment horizontal="right"/>
    </xf>
    <xf numFmtId="172" fontId="2" fillId="11" borderId="4" xfId="0" applyNumberFormat="1" applyFont="1" applyFill="1" applyBorder="1" applyAlignment="1">
      <alignment horizontal="right"/>
    </xf>
    <xf numFmtId="165" fontId="2" fillId="0" borderId="0" xfId="0" applyNumberFormat="1" applyFont="1" applyAlignment="1">
      <alignment horizontal="right"/>
    </xf>
    <xf numFmtId="0" fontId="3" fillId="13" borderId="13" xfId="0" applyFont="1" applyFill="1" applyBorder="1" applyAlignment="1">
      <alignment horizontal="right"/>
    </xf>
    <xf numFmtId="0" fontId="2" fillId="13" borderId="0" xfId="0" applyFont="1" applyFill="1" applyBorder="1" applyAlignment="1">
      <alignment horizontal="center"/>
    </xf>
    <xf numFmtId="164" fontId="2" fillId="13" borderId="0" xfId="0" applyNumberFormat="1" applyFont="1" applyFill="1" applyBorder="1"/>
    <xf numFmtId="0" fontId="3" fillId="13" borderId="16" xfId="0" applyFont="1" applyFill="1" applyBorder="1" applyAlignment="1">
      <alignment horizontal="right"/>
    </xf>
    <xf numFmtId="0" fontId="2" fillId="13" borderId="8" xfId="0" applyFont="1" applyFill="1" applyBorder="1" applyAlignment="1">
      <alignment horizontal="center"/>
    </xf>
    <xf numFmtId="164" fontId="2" fillId="13" borderId="9" xfId="0" applyNumberFormat="1" applyFont="1" applyFill="1" applyBorder="1"/>
    <xf numFmtId="173" fontId="2" fillId="0" borderId="0" xfId="0" applyNumberFormat="1" applyFont="1"/>
    <xf numFmtId="0" fontId="4" fillId="14" borderId="33" xfId="0" applyFont="1" applyFill="1" applyBorder="1" applyAlignment="1">
      <alignment horizontal="right"/>
    </xf>
    <xf numFmtId="0" fontId="3" fillId="11" borderId="23" xfId="0" applyFont="1" applyFill="1" applyBorder="1" applyAlignment="1">
      <alignment horizontal="right"/>
    </xf>
    <xf numFmtId="164" fontId="2" fillId="11" borderId="26" xfId="0" applyNumberFormat="1" applyFont="1" applyFill="1" applyBorder="1" applyAlignment="1">
      <alignment horizontal="right"/>
    </xf>
    <xf numFmtId="0" fontId="3" fillId="11" borderId="29" xfId="0" applyFont="1" applyFill="1" applyBorder="1" applyAlignment="1">
      <alignment horizontal="right"/>
    </xf>
    <xf numFmtId="164" fontId="2" fillId="11" borderId="32" xfId="0" applyNumberFormat="1" applyFont="1" applyFill="1" applyBorder="1" applyAlignment="1">
      <alignment horizontal="right"/>
    </xf>
    <xf numFmtId="0" fontId="3" fillId="12" borderId="27" xfId="0" applyFont="1" applyFill="1" applyBorder="1" applyAlignment="1">
      <alignment horizontal="center"/>
    </xf>
    <xf numFmtId="174" fontId="2" fillId="12" borderId="28" xfId="0" applyNumberFormat="1" applyFont="1" applyFill="1" applyBorder="1"/>
    <xf numFmtId="175" fontId="3" fillId="0" borderId="0" xfId="0" applyNumberFormat="1" applyFont="1" applyAlignment="1">
      <alignment horizontal="center"/>
    </xf>
    <xf numFmtId="175" fontId="2" fillId="0" borderId="1" xfId="0" applyNumberFormat="1" applyFont="1" applyBorder="1" applyAlignment="1">
      <alignment horizontal="center"/>
    </xf>
    <xf numFmtId="175" fontId="2" fillId="0" borderId="0" xfId="0" applyNumberFormat="1" applyFont="1" applyAlignment="1">
      <alignment horizontal="center"/>
    </xf>
    <xf numFmtId="175" fontId="3" fillId="0" borderId="0" xfId="0" applyNumberFormat="1" applyFont="1" applyBorder="1" applyAlignment="1">
      <alignment horizontal="center"/>
    </xf>
    <xf numFmtId="171" fontId="2" fillId="0" borderId="0" xfId="0" applyNumberFormat="1" applyFont="1" applyFill="1" applyBorder="1" applyAlignment="1">
      <alignment horizontal="center"/>
    </xf>
    <xf numFmtId="175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22" xfId="0" applyFont="1" applyFill="1" applyBorder="1" applyAlignment="1">
      <alignment horizontal="left"/>
    </xf>
    <xf numFmtId="164" fontId="7" fillId="13" borderId="15" xfId="0" applyNumberFormat="1" applyFont="1" applyFill="1" applyBorder="1" applyAlignment="1">
      <alignment horizontal="center"/>
    </xf>
    <xf numFmtId="164" fontId="7" fillId="13" borderId="17" xfId="0" applyNumberFormat="1" applyFont="1" applyFill="1" applyBorder="1" applyAlignment="1">
      <alignment horizontal="center"/>
    </xf>
    <xf numFmtId="0" fontId="6" fillId="5" borderId="18" xfId="0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right"/>
    </xf>
    <xf numFmtId="167" fontId="4" fillId="14" borderId="34" xfId="0" applyNumberFormat="1" applyFont="1" applyFill="1" applyBorder="1" applyAlignment="1">
      <alignment horizontal="left"/>
    </xf>
    <xf numFmtId="164" fontId="5" fillId="14" borderId="34" xfId="0" applyNumberFormat="1" applyFont="1" applyFill="1" applyBorder="1" applyAlignment="1">
      <alignment horizontal="center"/>
    </xf>
    <xf numFmtId="164" fontId="5" fillId="14" borderId="35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left"/>
    </xf>
    <xf numFmtId="168" fontId="2" fillId="0" borderId="0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4"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 val="0"/>
        <i val="0"/>
        <condense val="0"/>
        <extend val="0"/>
        <color indexed="12"/>
      </font>
    </dxf>
    <dxf>
      <font>
        <b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P68"/>
  <sheetViews>
    <sheetView tabSelected="1" workbookViewId="0">
      <selection activeCell="H21" sqref="H21"/>
    </sheetView>
  </sheetViews>
  <sheetFormatPr defaultRowHeight="12.75"/>
  <cols>
    <col min="1" max="1" width="2.28515625" style="1" customWidth="1"/>
    <col min="2" max="2" width="11.85546875" style="1" bestFit="1" customWidth="1"/>
    <col min="3" max="3" width="10.85546875" style="2" bestFit="1" customWidth="1"/>
    <col min="4" max="4" width="2.28515625" style="1" customWidth="1"/>
    <col min="5" max="5" width="7.5703125" style="2" customWidth="1"/>
    <col min="6" max="6" width="25.140625" style="1" bestFit="1" customWidth="1"/>
    <col min="7" max="7" width="7.28515625" style="12" bestFit="1" customWidth="1"/>
    <col min="8" max="8" width="7.7109375" style="13" bestFit="1" customWidth="1"/>
    <col min="9" max="9" width="5.7109375" style="47" customWidth="1"/>
    <col min="10" max="10" width="8.42578125" style="12" customWidth="1"/>
    <col min="11" max="11" width="10.5703125" style="1" customWidth="1"/>
    <col min="12" max="12" width="10" style="2" customWidth="1"/>
    <col min="13" max="13" width="10.85546875" style="2" customWidth="1"/>
    <col min="14" max="14" width="9.85546875" style="1" bestFit="1" customWidth="1"/>
    <col min="15" max="15" width="10" style="1" customWidth="1"/>
    <col min="16" max="16384" width="9.140625" style="1"/>
  </cols>
  <sheetData>
    <row r="2" spans="2:15">
      <c r="B2" s="1" t="s">
        <v>0</v>
      </c>
      <c r="E2" s="3" t="s">
        <v>1</v>
      </c>
      <c r="F2" s="4"/>
      <c r="G2" s="5"/>
      <c r="H2" s="6"/>
      <c r="J2" s="144" t="s">
        <v>2</v>
      </c>
      <c r="K2" s="145"/>
      <c r="L2" s="7" t="s">
        <v>3</v>
      </c>
      <c r="M2" s="8">
        <v>2</v>
      </c>
      <c r="N2" s="9" t="s">
        <v>4</v>
      </c>
      <c r="O2" s="10">
        <v>2007</v>
      </c>
    </row>
    <row r="3" spans="2:15">
      <c r="B3" s="53" t="s">
        <v>5</v>
      </c>
      <c r="C3" s="54">
        <f>SUM(E4:E504)</f>
        <v>10</v>
      </c>
      <c r="E3" s="85" t="s">
        <v>69</v>
      </c>
      <c r="F3" s="11" t="s">
        <v>7</v>
      </c>
      <c r="G3" s="50" t="s">
        <v>8</v>
      </c>
      <c r="H3" s="51" t="s">
        <v>9</v>
      </c>
      <c r="J3" s="130" t="s">
        <v>10</v>
      </c>
      <c r="K3" s="150">
        <f ca="1">N21</f>
        <v>39201</v>
      </c>
      <c r="L3" s="150"/>
      <c r="M3" s="151" t="str">
        <f ca="1">IF(OR(C26&lt;C5,C32&lt;0),IF(C26&lt;0,"You are in debt.","You cannot pay monthly expenses."),IF(SUM(N32:N37)&gt;0,"You are under budget.","You are over budget."))</f>
        <v>You are under budget.</v>
      </c>
      <c r="N3" s="151"/>
      <c r="O3" s="152"/>
    </row>
    <row r="4" spans="2:15">
      <c r="B4" s="55" t="s">
        <v>11</v>
      </c>
      <c r="C4" s="56">
        <f ca="1">Monthly_Exp!J5</f>
        <v>30</v>
      </c>
      <c r="E4" s="2">
        <v>10</v>
      </c>
      <c r="F4" s="1" t="s">
        <v>74</v>
      </c>
      <c r="G4" s="12" t="s">
        <v>35</v>
      </c>
      <c r="H4" s="13">
        <v>39200</v>
      </c>
      <c r="I4" s="52">
        <f ca="1">O23</f>
        <v>0</v>
      </c>
      <c r="J4" s="123" t="str">
        <f t="shared" ref="J4:J9" si="0">K23</f>
        <v>Fast food</v>
      </c>
      <c r="K4" s="124" t="s">
        <v>13</v>
      </c>
      <c r="L4" s="125" t="str">
        <f t="shared" ref="L4:L9" si="1">IF(M14=0,"zero.",IF(O23&gt;1,IF(O23&gt;1.33,"obscene.","too high."),IF(O23&lt;0.66,"pathetic.","fine.")))</f>
        <v>zero.</v>
      </c>
      <c r="M4" s="146" t="str">
        <f ca="1">IF(O23&gt;1,IF(OR(O23&gt;1.33,M14&gt;L14),IF(M14&gt;L14,"I give up.","Halt until "&amp;TEXT(O32,"mmmm dd .")),"Eat less."),IF(O23&lt;0.66,IF(M23&gt;0.33,"",IF(M23&gt;0,"Decrease budget to about "&amp;TEXT(TRUNC((L14-O14)/50+1)*50,"$0."),"")),""))</f>
        <v/>
      </c>
      <c r="N4" s="146"/>
      <c r="O4" s="146"/>
    </row>
    <row r="5" spans="2:15">
      <c r="B5" s="57" t="s">
        <v>73</v>
      </c>
      <c r="C5" s="56">
        <f ca="1">Monthly_Exp!J4</f>
        <v>15</v>
      </c>
      <c r="I5" s="52">
        <f t="shared" ref="I5:I9" ca="1" si="2">O24</f>
        <v>0</v>
      </c>
      <c r="J5" s="123" t="str">
        <f t="shared" si="0"/>
        <v>Technical</v>
      </c>
      <c r="K5" s="124" t="s">
        <v>13</v>
      </c>
      <c r="L5" s="125" t="str">
        <f t="shared" si="1"/>
        <v>zero.</v>
      </c>
      <c r="M5" s="146" t="str">
        <f ca="1">IF(O24&gt;1,IF(OR(O24&gt;1.33,M15&gt;L15),IF(M15&gt;L15,"I give up.","Halt until "&amp;TEXT(O33,"mmmm dd .")),"Well, at least you LOOK rich."),IF(O24&lt;0.66,IF(M24&gt;0.33,"",IF(M24&gt;0,"Decrease budget to about "&amp;TEXT(TRUNC((L15-O15)/50+1)*50,"$0."),"")),""))</f>
        <v/>
      </c>
      <c r="N5" s="146"/>
      <c r="O5" s="146"/>
    </row>
    <row r="6" spans="2:15">
      <c r="B6" s="58" t="s">
        <v>14</v>
      </c>
      <c r="C6" s="59">
        <f>Annual_Exp!G3</f>
        <v>500</v>
      </c>
      <c r="I6" s="52">
        <f t="shared" ca="1" si="2"/>
        <v>0</v>
      </c>
      <c r="J6" s="123" t="str">
        <f t="shared" si="0"/>
        <v>Charity</v>
      </c>
      <c r="K6" s="124" t="s">
        <v>13</v>
      </c>
      <c r="L6" s="125" t="str">
        <f t="shared" si="1"/>
        <v>zero.</v>
      </c>
      <c r="M6" s="146" t="str">
        <f ca="1">IF(O25&gt;1,IF(OR(O25&gt;1.33,M16&gt;L16),IF(M16&gt;L16,"I give up.","Halt until "&amp;TEXT(O34,"mmmm dd .")),"You aren't Ghandi."),IF(O25&lt;0.66,IF(M25&gt;0.33,"Give more.",IF(M25&gt;0,"Decrease budget to about "&amp;TEXT(TRUNC((L16-O16)/50+1)*50,"$0."),"")),""))</f>
        <v/>
      </c>
      <c r="N6" s="146"/>
      <c r="O6" s="146"/>
    </row>
    <row r="7" spans="2:15">
      <c r="I7" s="52">
        <f t="shared" ca="1" si="2"/>
        <v>0</v>
      </c>
      <c r="J7" s="123" t="str">
        <f t="shared" si="0"/>
        <v>School</v>
      </c>
      <c r="K7" s="124" t="s">
        <v>13</v>
      </c>
      <c r="L7" s="125" t="str">
        <f t="shared" si="1"/>
        <v>zero.</v>
      </c>
      <c r="M7" s="146" t="str">
        <f ca="1">IF(O26&gt;1,IF(OR(O26&gt;1.33,M17&gt;L17),IF(M17&gt;L17,"I give up.","Halt until "&amp;TEXT(O35,"mmmm dd .")),"It's not like you're learning anything."),IF(O26&lt;0.66,IF(M26&gt;0.33,"",IF(M26&gt;0,"Decrease budget to about "&amp;TEXT(TRUNC((L17-O17)/50+1)*50,"$0."),"")),""))</f>
        <v/>
      </c>
      <c r="N7" s="146"/>
      <c r="O7" s="146"/>
    </row>
    <row r="8" spans="2:15">
      <c r="B8" s="1" t="s">
        <v>15</v>
      </c>
      <c r="I8" s="52">
        <f t="shared" ca="1" si="2"/>
        <v>0</v>
      </c>
      <c r="J8" s="123" t="str">
        <f t="shared" si="0"/>
        <v>Work</v>
      </c>
      <c r="K8" s="124" t="s">
        <v>13</v>
      </c>
      <c r="L8" s="125" t="str">
        <f t="shared" si="1"/>
        <v>zero.</v>
      </c>
      <c r="M8" s="146" t="str">
        <f ca="1">IF(O27&gt;1,IF(OR(O27&gt;1.33,M18&gt;L18),IF(M18&gt;L18,"I give up.","Halt until "&amp;TEXT(O36,"mmmm dd .")),"You know, THEY should pay YOU."),IF(O27&lt;0.66,IF(M27&gt;0.33,"Give more.",IF(M27&gt;0,"Decrease budget to about "&amp;TEXT(TRUNC((L18-O18)/50+1)*50,"$0."),"")),""))</f>
        <v/>
      </c>
      <c r="N8" s="146"/>
      <c r="O8" s="146"/>
    </row>
    <row r="9" spans="2:15">
      <c r="B9" s="60" t="s">
        <v>16</v>
      </c>
      <c r="C9" s="61">
        <f>SUMIFS(Income_Transfers!B4:B104,Income_Transfers!E4:E104,"&gt;="&amp;DATE(O2,1,1),Income_Transfers!E4:E104,"&lt;"&amp;DATE(O2,2,1))</f>
        <v>0</v>
      </c>
      <c r="I9" s="52">
        <f t="shared" ca="1" si="2"/>
        <v>0.30691964285714285</v>
      </c>
      <c r="J9" s="126" t="str">
        <f t="shared" si="0"/>
        <v>General</v>
      </c>
      <c r="K9" s="127" t="s">
        <v>13</v>
      </c>
      <c r="L9" s="128" t="str">
        <f t="shared" ca="1" si="1"/>
        <v>pathetic.</v>
      </c>
      <c r="M9" s="147" t="str">
        <f ca="1">IF(O28&gt;1,IF(OR(O28&gt;1.33,M19&gt;L19),IF(M19&gt;L19,"I give up.","Halt until "&amp;TEXT(O37,"mmmm dd.")),"You spend like a girl."),IF(O28&lt;0.66,IF(M28&gt;0.33,"",IF(M28&gt;0,"Decrease budget to about "&amp;TEXT(TRUNC((L19-O19)/50+1)*50,"$0."),"")),""))</f>
        <v/>
      </c>
      <c r="N9" s="147"/>
      <c r="O9" s="147"/>
    </row>
    <row r="10" spans="2:15">
      <c r="B10" s="62" t="s">
        <v>17</v>
      </c>
      <c r="C10" s="63">
        <f>SUMIFS(Income_Transfers!B4:B104,Income_Transfers!E4:E104,"&gt;="&amp;DATE(O2,2,1),Income_Transfers!E4:E104,"&lt;"&amp;DATE(O2,3,1))</f>
        <v>0</v>
      </c>
      <c r="J10" s="148" t="str">
        <f ca="1">IF(C41-SUM(L14:L19)-C6-C5*12&gt;0,"You have budgeted "&amp;TEXT(C41-SUM(L14:L19)-C6-C5*12,"$0.00")&amp;" into savings to total "&amp;TEXT(C41-SUM(L14:L19)-C6-C5*12+C23+C29,"$0.00")&amp;".","You have budgeted more than you'll make.")</f>
        <v>You have budgeted $1889.64 into savings to total $3389.64.</v>
      </c>
      <c r="K10" s="148"/>
      <c r="L10" s="148"/>
      <c r="M10" s="148"/>
      <c r="N10" s="148"/>
      <c r="O10" s="148"/>
    </row>
    <row r="11" spans="2:15">
      <c r="B11" s="62" t="s">
        <v>19</v>
      </c>
      <c r="C11" s="63">
        <f>SUMIFS(Income_Transfers!B4:B104,Income_Transfers!E4:E104,"&gt;="&amp;DATE(O2,3,1),Income_Transfers!E4:E104,"&lt;"&amp;DATE(O2,4,1))</f>
        <v>0</v>
      </c>
    </row>
    <row r="12" spans="2:15">
      <c r="B12" s="62" t="s">
        <v>20</v>
      </c>
      <c r="C12" s="63">
        <f>SUMIFS(Income_Transfers!B4:B104,Income_Transfers!E4:E104,"&gt;="&amp;DATE(O2,4,1),Income_Transfers!E4:E104,"&lt;"&amp;DATE(O2,5,1))</f>
        <v>500</v>
      </c>
      <c r="J12" s="15" t="s">
        <v>21</v>
      </c>
      <c r="K12" s="15"/>
      <c r="M12" s="149" t="s">
        <v>22</v>
      </c>
      <c r="N12" s="149"/>
      <c r="O12" s="16">
        <f ca="1">SUM(O14:O19)</f>
        <v>2242.8571428571427</v>
      </c>
    </row>
    <row r="13" spans="2:15">
      <c r="B13" s="62" t="s">
        <v>23</v>
      </c>
      <c r="C13" s="63">
        <f>SUMIFS(Income_Transfers!B4:B104,Income_Transfers!E4:E104,"&gt;="&amp;DATE(O2,5,1),Income_Transfers!E4:E104,"&lt;"&amp;DATE(O2,6,1))</f>
        <v>0</v>
      </c>
      <c r="J13" s="86" t="s">
        <v>8</v>
      </c>
      <c r="K13" s="87" t="s">
        <v>7</v>
      </c>
      <c r="L13" s="88" t="s">
        <v>24</v>
      </c>
      <c r="M13" s="89" t="s">
        <v>25</v>
      </c>
      <c r="N13" s="89" t="s">
        <v>26</v>
      </c>
      <c r="O13" s="90" t="s">
        <v>27</v>
      </c>
    </row>
    <row r="14" spans="2:15">
      <c r="B14" s="62" t="s">
        <v>28</v>
      </c>
      <c r="C14" s="63">
        <f>SUMIFS(Income_Transfers!B4:B104,Income_Transfers!E4:E104,"&gt;="&amp;DATE(O2,6,1),Income_Transfers!E4:E104,"&lt;"&amp;DATE(O2,7,1))</f>
        <v>0</v>
      </c>
      <c r="I14" s="52">
        <f t="shared" ref="I14:I19" si="3">IF(L14=0,1,M14/L14)</f>
        <v>0</v>
      </c>
      <c r="J14" s="35" t="s">
        <v>12</v>
      </c>
      <c r="K14" s="14" t="s">
        <v>72</v>
      </c>
      <c r="L14" s="18">
        <v>1200</v>
      </c>
      <c r="M14" s="19">
        <f>SUMIF(G4:G504,J14,E4:E504)</f>
        <v>0</v>
      </c>
      <c r="N14" s="19">
        <f ca="1">M14/O21</f>
        <v>0</v>
      </c>
      <c r="O14" s="48">
        <f t="shared" ref="O14:O19" ca="1" si="4">L14-N14</f>
        <v>1200</v>
      </c>
    </row>
    <row r="15" spans="2:15">
      <c r="B15" s="62" t="s">
        <v>29</v>
      </c>
      <c r="C15" s="63">
        <f>SUMIFS(Income_Transfers!B4:B104,Income_Transfers!E4:E104,"&gt;="&amp;DATE(O2,7,1),Income_Transfers!E4:E104,"&lt;"&amp;DATE(O2,8,1))</f>
        <v>0</v>
      </c>
      <c r="I15" s="52">
        <f t="shared" si="3"/>
        <v>0</v>
      </c>
      <c r="J15" s="91" t="s">
        <v>18</v>
      </c>
      <c r="K15" s="92" t="s">
        <v>30</v>
      </c>
      <c r="L15" s="93">
        <v>200</v>
      </c>
      <c r="M15" s="94">
        <f>SUMIF(G4:G504,J15,E4:E504)</f>
        <v>0</v>
      </c>
      <c r="N15" s="94">
        <f ca="1">M15/O21</f>
        <v>0</v>
      </c>
      <c r="O15" s="95">
        <f t="shared" ca="1" si="4"/>
        <v>200</v>
      </c>
    </row>
    <row r="16" spans="2:15">
      <c r="B16" s="62" t="s">
        <v>31</v>
      </c>
      <c r="C16" s="63">
        <f>SUMIFS(Income_Transfers!B4:B104,Income_Transfers!E4:E104,"&gt;="&amp;DATE(O2,8,1),Income_Transfers!E4:E104,"&lt;"&amp;DATE(O2,9,1))</f>
        <v>0</v>
      </c>
      <c r="I16" s="52">
        <f t="shared" ca="1" si="3"/>
        <v>0</v>
      </c>
      <c r="J16" s="35" t="s">
        <v>32</v>
      </c>
      <c r="K16" s="14" t="s">
        <v>33</v>
      </c>
      <c r="L16" s="18">
        <f ca="1">C41*0.1</f>
        <v>491.07142857142856</v>
      </c>
      <c r="M16" s="19">
        <f>SUMIF(G4:G504,J16,E4:E504)</f>
        <v>0</v>
      </c>
      <c r="N16" s="19">
        <f ca="1">M16/O21</f>
        <v>0</v>
      </c>
      <c r="O16" s="48">
        <f t="shared" ca="1" si="4"/>
        <v>491.07142857142856</v>
      </c>
    </row>
    <row r="17" spans="2:15">
      <c r="B17" s="62" t="s">
        <v>34</v>
      </c>
      <c r="C17" s="63">
        <f>SUMIFS(Income_Transfers!B4:B104,Income_Transfers!E4:E104,"&gt;="&amp;DATE(O2,9,1),Income_Transfers!E4:E104,"&lt;"&amp;DATE(O2,10,1))</f>
        <v>0</v>
      </c>
      <c r="I17" s="52">
        <f t="shared" si="3"/>
        <v>0</v>
      </c>
      <c r="J17" s="91" t="s">
        <v>36</v>
      </c>
      <c r="K17" s="92" t="s">
        <v>37</v>
      </c>
      <c r="L17" s="94">
        <v>80</v>
      </c>
      <c r="M17" s="96">
        <f>SUMIF(G4:G504,J17,E4:E504)</f>
        <v>0</v>
      </c>
      <c r="N17" s="94">
        <f ca="1">M17/O21</f>
        <v>0</v>
      </c>
      <c r="O17" s="95">
        <f t="shared" ca="1" si="4"/>
        <v>80</v>
      </c>
    </row>
    <row r="18" spans="2:15">
      <c r="B18" s="62" t="s">
        <v>38</v>
      </c>
      <c r="C18" s="63">
        <f>SUMIFS(Income_Transfers!B4:B104,Income_Transfers!E4:E104,"&gt;="&amp;DATE(O2,10,1),Income_Transfers!E4:E104,"&lt;"&amp;DATE(O2,11,1))</f>
        <v>0</v>
      </c>
      <c r="I18" s="52">
        <f>IF(L18=0,1,M18/L18)</f>
        <v>0</v>
      </c>
      <c r="J18" s="35" t="s">
        <v>70</v>
      </c>
      <c r="K18" s="14" t="s">
        <v>71</v>
      </c>
      <c r="L18" s="19">
        <v>50</v>
      </c>
      <c r="M18" s="20">
        <f>SUMIF(G4:G504,J18,E4:E504)</f>
        <v>0</v>
      </c>
      <c r="N18" s="19">
        <f ca="1">M18/O21</f>
        <v>0</v>
      </c>
      <c r="O18" s="48">
        <f t="shared" ca="1" si="4"/>
        <v>50</v>
      </c>
    </row>
    <row r="19" spans="2:15">
      <c r="B19" s="62" t="s">
        <v>39</v>
      </c>
      <c r="C19" s="63">
        <f>SUMIFS(Income_Transfers!B4:B104,Income_Transfers!E4:E104,"&gt;="&amp;DATE(O2,11,1),Income_Transfers!E4:E104,"&lt;"&amp;DATE(O2,12,1))</f>
        <v>0</v>
      </c>
      <c r="I19" s="52">
        <f t="shared" si="3"/>
        <v>3.125E-2</v>
      </c>
      <c r="J19" s="97" t="s">
        <v>35</v>
      </c>
      <c r="K19" s="98" t="s">
        <v>40</v>
      </c>
      <c r="L19" s="99">
        <v>320</v>
      </c>
      <c r="M19" s="100">
        <f>SUMIF(G4:G504,J19,E4:E504)</f>
        <v>10</v>
      </c>
      <c r="N19" s="100">
        <f ca="1">M19/O21</f>
        <v>98.214285714285708</v>
      </c>
      <c r="O19" s="101">
        <f t="shared" ca="1" si="4"/>
        <v>221.78571428571428</v>
      </c>
    </row>
    <row r="20" spans="2:15">
      <c r="B20" s="64" t="s">
        <v>41</v>
      </c>
      <c r="C20" s="65">
        <f>SUMIFS(Income_Transfers!B4:B104,Income_Transfers!E4:E104,"&gt;="&amp;DATE(O2,12,1),Income_Transfers!E4:E104,"&lt;"&amp;DATE(O2+1,1,1))</f>
        <v>0</v>
      </c>
    </row>
    <row r="21" spans="2:15">
      <c r="J21" s="21" t="s">
        <v>25</v>
      </c>
      <c r="M21" s="22" t="s">
        <v>42</v>
      </c>
      <c r="N21" s="23">
        <f ca="1">TODAY()</f>
        <v>39201</v>
      </c>
      <c r="O21" s="24">
        <f ca="1">MIN((N21-O30)/(DATE(O2+1,1,1)-O30),1)</f>
        <v>0.10181818181818182</v>
      </c>
    </row>
    <row r="22" spans="2:15">
      <c r="B22" s="1" t="s">
        <v>77</v>
      </c>
      <c r="J22" s="86" t="s">
        <v>8</v>
      </c>
      <c r="K22" s="87" t="s">
        <v>7</v>
      </c>
      <c r="L22" s="88" t="s">
        <v>24</v>
      </c>
      <c r="M22" s="89" t="s">
        <v>43</v>
      </c>
      <c r="N22" s="87" t="s">
        <v>44</v>
      </c>
      <c r="O22" s="90" t="s">
        <v>45</v>
      </c>
    </row>
    <row r="23" spans="2:15">
      <c r="B23" s="66" t="s">
        <v>46</v>
      </c>
      <c r="C23" s="67">
        <v>500</v>
      </c>
      <c r="I23" s="52">
        <f ca="1">O23</f>
        <v>0</v>
      </c>
      <c r="J23" s="35" t="str">
        <f t="shared" ref="J23:K28" si="5">J14</f>
        <v>GROC</v>
      </c>
      <c r="K23" s="14" t="str">
        <f t="shared" si="5"/>
        <v>Fast food</v>
      </c>
      <c r="L23" s="18">
        <f ca="1">L14*O21</f>
        <v>122.18181818181819</v>
      </c>
      <c r="M23" s="19">
        <f>SUMIF(G4:G504,J23,E4:E504)</f>
        <v>0</v>
      </c>
      <c r="N23" s="19">
        <f t="shared" ref="N23:N28" ca="1" si="6">L23-M23</f>
        <v>122.18181818181819</v>
      </c>
      <c r="O23" s="36">
        <f t="shared" ref="O23:O28" ca="1" si="7">IF(L23&gt;0,M23/L23,1)</f>
        <v>0</v>
      </c>
    </row>
    <row r="24" spans="2:15">
      <c r="B24" s="68" t="s">
        <v>47</v>
      </c>
      <c r="C24" s="69">
        <f ca="1">SUMIF(Income_Transfers!D4:D104,B22,Income_Transfers!B4:B104)-C3-C4-C6-C25</f>
        <v>-40</v>
      </c>
      <c r="I24" s="52">
        <f t="shared" ref="I24:I28" ca="1" si="8">O24</f>
        <v>0</v>
      </c>
      <c r="J24" s="91" t="str">
        <f t="shared" si="5"/>
        <v>TECH</v>
      </c>
      <c r="K24" s="92" t="str">
        <f t="shared" si="5"/>
        <v>Technical</v>
      </c>
      <c r="L24" s="93">
        <f ca="1">L15*O21</f>
        <v>20.363636363636363</v>
      </c>
      <c r="M24" s="94">
        <f>SUMIF(G4:G504,J24,E4:E504)</f>
        <v>0</v>
      </c>
      <c r="N24" s="94">
        <f t="shared" ca="1" si="6"/>
        <v>20.363636363636363</v>
      </c>
      <c r="O24" s="102">
        <f t="shared" ca="1" si="7"/>
        <v>0</v>
      </c>
    </row>
    <row r="25" spans="2:15">
      <c r="B25" s="68" t="s">
        <v>48</v>
      </c>
      <c r="C25" s="69">
        <f>SUMIF(Income_Transfers!C4:C104,"Interest - "&amp;B22,Income_Transfers!B4:B104)</f>
        <v>0</v>
      </c>
      <c r="I25" s="52">
        <f t="shared" ca="1" si="8"/>
        <v>0</v>
      </c>
      <c r="J25" s="35" t="str">
        <f t="shared" si="5"/>
        <v>CHAR</v>
      </c>
      <c r="K25" s="14" t="str">
        <f t="shared" si="5"/>
        <v>Charity</v>
      </c>
      <c r="L25" s="18">
        <f ca="1">L16*O21</f>
        <v>50</v>
      </c>
      <c r="M25" s="19">
        <f>SUMIF(G4:G504,J25,E4:E504)</f>
        <v>0</v>
      </c>
      <c r="N25" s="19">
        <f t="shared" ca="1" si="6"/>
        <v>50</v>
      </c>
      <c r="O25" s="36">
        <f t="shared" ca="1" si="7"/>
        <v>0</v>
      </c>
    </row>
    <row r="26" spans="2:15">
      <c r="B26" s="70" t="s">
        <v>49</v>
      </c>
      <c r="C26" s="71">
        <f ca="1">C23+C24+C25</f>
        <v>460</v>
      </c>
      <c r="I26" s="52">
        <f t="shared" ca="1" si="8"/>
        <v>0</v>
      </c>
      <c r="J26" s="91" t="str">
        <f t="shared" si="5"/>
        <v>SCHL</v>
      </c>
      <c r="K26" s="92" t="str">
        <f t="shared" si="5"/>
        <v>School</v>
      </c>
      <c r="L26" s="93">
        <f ca="1">L17*O21</f>
        <v>8.1454545454545464</v>
      </c>
      <c r="M26" s="94">
        <f>SUMIF(G4:G504,J26,E4:E504)</f>
        <v>0</v>
      </c>
      <c r="N26" s="94">
        <f t="shared" ca="1" si="6"/>
        <v>8.1454545454545464</v>
      </c>
      <c r="O26" s="102">
        <f t="shared" ca="1" si="7"/>
        <v>0</v>
      </c>
    </row>
    <row r="27" spans="2:15">
      <c r="I27" s="52">
        <f t="shared" ca="1" si="8"/>
        <v>0</v>
      </c>
      <c r="J27" s="35" t="str">
        <f t="shared" si="5"/>
        <v>WORK</v>
      </c>
      <c r="K27" s="14" t="str">
        <f t="shared" si="5"/>
        <v>Work</v>
      </c>
      <c r="L27" s="18">
        <f ca="1">L18*O21</f>
        <v>5.0909090909090908</v>
      </c>
      <c r="M27" s="19">
        <f>SUMIF(G4:G504,J27,E4:E504)</f>
        <v>0</v>
      </c>
      <c r="N27" s="19">
        <f ca="1">L27-M27</f>
        <v>5.0909090909090908</v>
      </c>
      <c r="O27" s="36">
        <f ca="1">IF(L27&gt;0,M27/L27,1)</f>
        <v>0</v>
      </c>
    </row>
    <row r="28" spans="2:15">
      <c r="B28" s="1" t="s">
        <v>78</v>
      </c>
      <c r="I28" s="52">
        <f t="shared" ca="1" si="8"/>
        <v>0.30691964285714285</v>
      </c>
      <c r="J28" s="97" t="str">
        <f t="shared" si="5"/>
        <v>MISC</v>
      </c>
      <c r="K28" s="98" t="str">
        <f t="shared" si="5"/>
        <v>General</v>
      </c>
      <c r="L28" s="99">
        <f ca="1">L19*O21</f>
        <v>32.581818181818186</v>
      </c>
      <c r="M28" s="100">
        <f>SUMIF(G4:G504,J28,E4:E504)</f>
        <v>10</v>
      </c>
      <c r="N28" s="100">
        <f t="shared" ca="1" si="6"/>
        <v>22.581818181818186</v>
      </c>
      <c r="O28" s="103">
        <f t="shared" ca="1" si="7"/>
        <v>0.30691964285714285</v>
      </c>
    </row>
    <row r="29" spans="2:15">
      <c r="B29" s="66" t="s">
        <v>46</v>
      </c>
      <c r="C29" s="67">
        <v>1000</v>
      </c>
    </row>
    <row r="30" spans="2:15">
      <c r="B30" s="68" t="s">
        <v>47</v>
      </c>
      <c r="C30" s="72">
        <f>SUMIF(Income_Transfers!D4:D104,B28,Income_Transfers!B4:B104)-C31</f>
        <v>0</v>
      </c>
      <c r="J30" s="25" t="s">
        <v>50</v>
      </c>
      <c r="K30" s="25"/>
      <c r="N30" s="34" t="s">
        <v>79</v>
      </c>
      <c r="O30" s="154">
        <v>39173</v>
      </c>
    </row>
    <row r="31" spans="2:15">
      <c r="B31" s="68" t="s">
        <v>48</v>
      </c>
      <c r="C31" s="69">
        <f>SUMIF(Income_Transfers!C4:C104,"Interest - "&amp;B28,Income_Transfers!B4:B104)</f>
        <v>0</v>
      </c>
      <c r="J31" s="104" t="s">
        <v>8</v>
      </c>
      <c r="K31" s="105" t="s">
        <v>7</v>
      </c>
      <c r="L31" s="106" t="s">
        <v>24</v>
      </c>
      <c r="M31" s="107" t="s">
        <v>43</v>
      </c>
      <c r="N31" s="105" t="s">
        <v>44</v>
      </c>
      <c r="O31" s="108" t="s">
        <v>51</v>
      </c>
    </row>
    <row r="32" spans="2:15">
      <c r="B32" s="70" t="s">
        <v>49</v>
      </c>
      <c r="C32" s="71">
        <f>C29+C30+C31</f>
        <v>1000</v>
      </c>
      <c r="I32" s="122">
        <f ca="1">O32</f>
        <v>39083</v>
      </c>
      <c r="J32" s="17" t="str">
        <f t="shared" ref="J32:K37" si="9">J14</f>
        <v>GROC</v>
      </c>
      <c r="K32" s="14" t="str">
        <f t="shared" si="9"/>
        <v>Fast food</v>
      </c>
      <c r="L32" s="18">
        <f t="shared" ref="L32:L37" si="10">L14/365</f>
        <v>3.2876712328767121</v>
      </c>
      <c r="M32" s="19">
        <f t="shared" ref="M32:M37" ca="1" si="11">N14/365</f>
        <v>0</v>
      </c>
      <c r="N32" s="19">
        <f t="shared" ref="N32:N37" ca="1" si="12">L32-M32</f>
        <v>3.2876712328767121</v>
      </c>
      <c r="O32" s="26">
        <f ca="1">IF(L14&gt;0,DATE(O2,1,1)+365*M14/L14,TODAY())</f>
        <v>39083</v>
      </c>
    </row>
    <row r="33" spans="2:16">
      <c r="I33" s="122">
        <f t="shared" ref="I33:I37" ca="1" si="13">O33</f>
        <v>39083</v>
      </c>
      <c r="J33" s="109" t="str">
        <f t="shared" si="9"/>
        <v>TECH</v>
      </c>
      <c r="K33" s="92" t="str">
        <f t="shared" si="9"/>
        <v>Technical</v>
      </c>
      <c r="L33" s="93">
        <f t="shared" si="10"/>
        <v>0.54794520547945202</v>
      </c>
      <c r="M33" s="94">
        <f t="shared" ca="1" si="11"/>
        <v>0</v>
      </c>
      <c r="N33" s="94">
        <f t="shared" ca="1" si="12"/>
        <v>0.54794520547945202</v>
      </c>
      <c r="O33" s="110">
        <f ca="1">IF(L15&gt;0,DATE(O2,1,1)+365*M15/L15,TODAY()-1)</f>
        <v>39083</v>
      </c>
    </row>
    <row r="34" spans="2:16">
      <c r="B34" s="1" t="s">
        <v>52</v>
      </c>
      <c r="I34" s="122">
        <f t="shared" ca="1" si="13"/>
        <v>39083</v>
      </c>
      <c r="J34" s="17" t="str">
        <f t="shared" si="9"/>
        <v>CHAR</v>
      </c>
      <c r="K34" s="14" t="str">
        <f t="shared" si="9"/>
        <v>Charity</v>
      </c>
      <c r="L34" s="18">
        <f t="shared" ca="1" si="10"/>
        <v>1.3454011741682974</v>
      </c>
      <c r="M34" s="19">
        <f t="shared" ca="1" si="11"/>
        <v>0</v>
      </c>
      <c r="N34" s="19">
        <f t="shared" ca="1" si="12"/>
        <v>1.3454011741682974</v>
      </c>
      <c r="O34" s="26">
        <f ca="1">IF(L16&gt;0,DATE(O2,1,1)+365*M16/L16,TODAY()-1)</f>
        <v>39083</v>
      </c>
      <c r="P34" s="27"/>
    </row>
    <row r="35" spans="2:16">
      <c r="B35" s="73" t="s">
        <v>53</v>
      </c>
      <c r="C35" s="74">
        <f>SUM(C9:C20)</f>
        <v>500</v>
      </c>
      <c r="I35" s="122">
        <f t="shared" ca="1" si="13"/>
        <v>39083</v>
      </c>
      <c r="J35" s="109" t="str">
        <f t="shared" si="9"/>
        <v>SCHL</v>
      </c>
      <c r="K35" s="92" t="str">
        <f t="shared" si="9"/>
        <v>School</v>
      </c>
      <c r="L35" s="93">
        <f t="shared" si="10"/>
        <v>0.21917808219178081</v>
      </c>
      <c r="M35" s="94">
        <f t="shared" ca="1" si="11"/>
        <v>0</v>
      </c>
      <c r="N35" s="94">
        <f t="shared" ca="1" si="12"/>
        <v>0.21917808219178081</v>
      </c>
      <c r="O35" s="110">
        <f ca="1">IF(L17&gt;0,DATE(O2,1,1)+365*M17/L17,TODAY()-1)</f>
        <v>39083</v>
      </c>
    </row>
    <row r="36" spans="2:16">
      <c r="B36" s="75" t="s">
        <v>54</v>
      </c>
      <c r="C36" s="76">
        <f ca="1">SUM(C3:C6)-C5</f>
        <v>540</v>
      </c>
      <c r="I36" s="122">
        <f t="shared" ca="1" si="13"/>
        <v>39083</v>
      </c>
      <c r="J36" s="17" t="str">
        <f t="shared" si="9"/>
        <v>WORK</v>
      </c>
      <c r="K36" s="14" t="str">
        <f t="shared" si="9"/>
        <v>Work</v>
      </c>
      <c r="L36" s="18">
        <f t="shared" si="10"/>
        <v>0.13698630136986301</v>
      </c>
      <c r="M36" s="19">
        <f t="shared" ca="1" si="11"/>
        <v>0</v>
      </c>
      <c r="N36" s="19">
        <f t="shared" ca="1" si="12"/>
        <v>0.13698630136986301</v>
      </c>
      <c r="O36" s="26">
        <f ca="1">IF(L18&gt;0,DATE(O2,1,1)+365*M18/L18,TODAY()-1)</f>
        <v>39083</v>
      </c>
      <c r="P36" s="27"/>
    </row>
    <row r="37" spans="2:16">
      <c r="B37" s="75" t="s">
        <v>55</v>
      </c>
      <c r="C37" s="76">
        <f ca="1">C35-C36</f>
        <v>-40</v>
      </c>
      <c r="I37" s="122">
        <f t="shared" ca="1" si="13"/>
        <v>39175.242613636365</v>
      </c>
      <c r="J37" s="111" t="str">
        <f t="shared" si="9"/>
        <v>MISC</v>
      </c>
      <c r="K37" s="112" t="str">
        <f t="shared" si="9"/>
        <v>General</v>
      </c>
      <c r="L37" s="113">
        <f t="shared" si="10"/>
        <v>0.87671232876712324</v>
      </c>
      <c r="M37" s="114">
        <f t="shared" ca="1" si="11"/>
        <v>0.26908023483365945</v>
      </c>
      <c r="N37" s="114">
        <f t="shared" ca="1" si="12"/>
        <v>0.60763209393346385</v>
      </c>
      <c r="O37" s="115">
        <f ca="1">IF(L19&gt;0,N21-N28/L37,N21-1)</f>
        <v>39175.242613636365</v>
      </c>
    </row>
    <row r="38" spans="2:16">
      <c r="B38" s="77" t="s">
        <v>56</v>
      </c>
      <c r="C38" s="78">
        <f ca="1">C32+C26</f>
        <v>1460</v>
      </c>
      <c r="D38" s="2"/>
      <c r="L38" s="28"/>
      <c r="M38" s="29"/>
    </row>
    <row r="40" spans="2:16">
      <c r="B40" s="1" t="s">
        <v>21</v>
      </c>
    </row>
    <row r="41" spans="2:16">
      <c r="B41" s="79" t="s">
        <v>53</v>
      </c>
      <c r="C41" s="80">
        <f ca="1">C35/O21</f>
        <v>4910.7142857142853</v>
      </c>
    </row>
    <row r="42" spans="2:16">
      <c r="B42" s="81" t="s">
        <v>54</v>
      </c>
      <c r="C42" s="82">
        <f ca="1">C3/O21+Monthly_Exp!J3+C6</f>
        <v>763.21428571428578</v>
      </c>
    </row>
    <row r="43" spans="2:16">
      <c r="B43" s="81" t="s">
        <v>55</v>
      </c>
      <c r="C43" s="82">
        <f ca="1">C41-C42</f>
        <v>4147.5</v>
      </c>
    </row>
    <row r="44" spans="2:16">
      <c r="B44" s="83" t="s">
        <v>56</v>
      </c>
      <c r="C44" s="84">
        <f ca="1">C29+C23+C43</f>
        <v>5647.5</v>
      </c>
    </row>
    <row r="45" spans="2:16">
      <c r="B45" s="30"/>
    </row>
    <row r="46" spans="2:16">
      <c r="B46" s="30"/>
      <c r="J46" s="31"/>
      <c r="K46" s="31"/>
      <c r="L46" s="32"/>
      <c r="M46" s="29"/>
      <c r="N46" s="33"/>
    </row>
    <row r="54" spans="15:15">
      <c r="O54" s="33"/>
    </row>
    <row r="68" spans="6:6">
      <c r="F68" s="49"/>
    </row>
  </sheetData>
  <autoFilter ref="E3:H72"/>
  <mergeCells count="11">
    <mergeCell ref="J2:K2"/>
    <mergeCell ref="M8:O8"/>
    <mergeCell ref="M9:O9"/>
    <mergeCell ref="J10:O10"/>
    <mergeCell ref="M12:N12"/>
    <mergeCell ref="K3:L3"/>
    <mergeCell ref="M3:O3"/>
    <mergeCell ref="M4:O4"/>
    <mergeCell ref="M5:O5"/>
    <mergeCell ref="M6:O6"/>
    <mergeCell ref="M7:O7"/>
  </mergeCells>
  <conditionalFormatting sqref="O23:O28">
    <cfRule type="cellIs" dxfId="3" priority="10" stopIfTrue="1" operator="greaterThan">
      <formula>1</formula>
    </cfRule>
  </conditionalFormatting>
  <conditionalFormatting sqref="M4:M9">
    <cfRule type="cellIs" dxfId="2" priority="11" stopIfTrue="1" operator="equal">
      <formula>"Fix budget or return stuff."</formula>
    </cfRule>
  </conditionalFormatting>
  <conditionalFormatting sqref="M3:O3">
    <cfRule type="cellIs" dxfId="1" priority="12" stopIfTrue="1" operator="equal">
      <formula>"You cannot pay monthly expenses."</formula>
    </cfRule>
    <cfRule type="cellIs" dxfId="0" priority="13" stopIfTrue="1" operator="equal">
      <formula>"You are in debt."</formula>
    </cfRule>
  </conditionalFormatting>
  <conditionalFormatting sqref="I14:I19">
    <cfRule type="iconSet" priority="7">
      <iconSet iconSet="5Rating" showValue="0">
        <cfvo type="percent" val="0"/>
        <cfvo type="num" val="0.2"/>
        <cfvo type="num" val="0.4"/>
        <cfvo type="num" val="0.6"/>
        <cfvo type="num" val="0.8"/>
      </iconSet>
    </cfRule>
  </conditionalFormatting>
  <conditionalFormatting sqref="I23:I28">
    <cfRule type="iconSet" priority="6">
      <iconSet iconSet="5Rating" showValue="0">
        <cfvo type="percent" val="0"/>
        <cfvo type="num" val="0.2"/>
        <cfvo type="num" val="0.4"/>
        <cfvo type="num" val="0.6"/>
        <cfvo type="num" val="0.8"/>
      </iconSet>
    </cfRule>
  </conditionalFormatting>
  <conditionalFormatting sqref="I32:I37">
    <cfRule type="iconSet" priority="5">
      <iconSet iconSet="3Flags" showValue="0" reverse="1">
        <cfvo type="percent" val="0"/>
        <cfvo type="formula" val="TODAY()-3"/>
        <cfvo type="formula" val="TODAY()"/>
      </iconSet>
    </cfRule>
  </conditionalFormatting>
  <conditionalFormatting sqref="I4:I9">
    <cfRule type="iconSet" priority="4">
      <iconSet iconSet="4RedToBlack" showValue="0">
        <cfvo type="percent" val="0"/>
        <cfvo type="num" val="0.66"/>
        <cfvo type="num" val="1"/>
        <cfvo type="num" val="1.33"/>
      </iconSet>
    </cfRule>
  </conditionalFormatting>
  <conditionalFormatting sqref="O32:O37">
    <cfRule type="iconSet" priority="1">
      <iconSet iconSet="3Symbols" reverse="1">
        <cfvo type="percent" val="0"/>
        <cfvo type="formula" val="TODAY()-3"/>
        <cfvo type="formula" val="TODAY()"/>
      </iconSet>
    </cfRule>
  </conditionalFormatting>
  <pageMargins left="0.74791666666666667" right="0.74791666666666667" top="0.98402777777777772" bottom="0.98402777777777772" header="0.51180555555555551" footer="0.51180555555555551"/>
  <pageSetup scale="63" firstPageNumber="0" orientation="portrait" horizontalDpi="300" verticalDpi="300" r:id="rId1"/>
  <headerFooter alignWithMargins="0">
    <oddHeader>&amp;CBudget 2007
Andrew Poelstra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J32"/>
  <sheetViews>
    <sheetView workbookViewId="0">
      <selection activeCell="B5" sqref="B5"/>
    </sheetView>
  </sheetViews>
  <sheetFormatPr defaultRowHeight="12.75"/>
  <cols>
    <col min="1" max="2" width="9.140625" style="1"/>
    <col min="3" max="3" width="13.140625" style="1" customWidth="1"/>
    <col min="4" max="5" width="9.140625" style="1"/>
    <col min="6" max="7" width="9.7109375" style="1" customWidth="1"/>
    <col min="8" max="8" width="7.140625" style="1" customWidth="1"/>
    <col min="9" max="9" width="9.85546875" style="1" customWidth="1"/>
    <col min="10" max="16384" width="9.140625" style="1"/>
  </cols>
  <sheetData>
    <row r="2" spans="1:10">
      <c r="B2" s="153" t="s">
        <v>57</v>
      </c>
      <c r="C2" s="153"/>
      <c r="D2" s="37"/>
      <c r="E2" s="4"/>
      <c r="F2" s="4"/>
      <c r="G2" s="4"/>
      <c r="I2" s="1" t="s">
        <v>58</v>
      </c>
    </row>
    <row r="3" spans="1:10">
      <c r="A3" s="11"/>
      <c r="B3" s="38" t="s">
        <v>6</v>
      </c>
      <c r="C3" s="11" t="s">
        <v>7</v>
      </c>
      <c r="D3" s="39" t="s">
        <v>59</v>
      </c>
      <c r="E3" s="39" t="s">
        <v>60</v>
      </c>
      <c r="F3" s="11" t="s">
        <v>52</v>
      </c>
      <c r="G3" s="11" t="s">
        <v>61</v>
      </c>
      <c r="I3" s="131" t="s">
        <v>62</v>
      </c>
      <c r="J3" s="132">
        <f>SUM(F4:F104)</f>
        <v>165</v>
      </c>
    </row>
    <row r="4" spans="1:10">
      <c r="A4" s="12"/>
      <c r="B4" s="2">
        <v>15</v>
      </c>
      <c r="C4" s="1" t="s">
        <v>63</v>
      </c>
      <c r="D4" s="40">
        <v>39114</v>
      </c>
      <c r="E4" s="40">
        <v>39417</v>
      </c>
      <c r="F4" s="41">
        <f>B4*(MONTH(E4)-MONTH(D4)+1)</f>
        <v>165</v>
      </c>
      <c r="G4" s="41">
        <f ca="1">MAX(B4*(MIN(MONTH(E4),MONTH(TODAY()))-MONTH(D4+1)),0)</f>
        <v>30</v>
      </c>
      <c r="I4" s="135" t="s">
        <v>68</v>
      </c>
      <c r="J4" s="136">
        <f ca="1">SUMIFS(B4:B104,D4:D104,"&lt;="&amp;TODAY(),E4:E104,"&gt;="&amp;TODAY())</f>
        <v>15</v>
      </c>
    </row>
    <row r="5" spans="1:10" ht="13.5" thickBot="1">
      <c r="A5" s="12"/>
      <c r="B5" s="2"/>
      <c r="D5" s="40"/>
      <c r="E5" s="40"/>
      <c r="F5" s="41"/>
      <c r="G5" s="41"/>
      <c r="I5" s="133" t="s">
        <v>64</v>
      </c>
      <c r="J5" s="134">
        <f ca="1">SUM(G4:G104)</f>
        <v>30</v>
      </c>
    </row>
    <row r="6" spans="1:10">
      <c r="A6" s="12"/>
      <c r="B6" s="2"/>
      <c r="D6" s="40"/>
      <c r="E6" s="40"/>
      <c r="F6" s="41"/>
    </row>
    <row r="7" spans="1:10">
      <c r="A7" s="12"/>
      <c r="B7" s="2"/>
      <c r="D7" s="40"/>
      <c r="E7" s="40"/>
      <c r="F7" s="41"/>
    </row>
    <row r="8" spans="1:10">
      <c r="A8" s="12"/>
      <c r="B8" s="2"/>
      <c r="D8" s="40"/>
      <c r="E8" s="40"/>
      <c r="F8" s="41"/>
    </row>
    <row r="9" spans="1:10">
      <c r="A9" s="12"/>
      <c r="B9" s="2"/>
      <c r="D9" s="40"/>
      <c r="E9" s="40"/>
      <c r="F9" s="41"/>
    </row>
    <row r="10" spans="1:10">
      <c r="A10" s="12"/>
      <c r="B10" s="2"/>
      <c r="D10" s="40"/>
      <c r="E10" s="40"/>
      <c r="F10" s="41"/>
    </row>
    <row r="11" spans="1:10">
      <c r="A11" s="12"/>
      <c r="B11" s="2"/>
      <c r="D11" s="40"/>
      <c r="E11" s="40"/>
      <c r="F11" s="41"/>
    </row>
    <row r="12" spans="1:10">
      <c r="A12" s="12"/>
      <c r="B12" s="2"/>
      <c r="D12" s="40"/>
      <c r="E12" s="40"/>
      <c r="F12" s="41"/>
    </row>
    <row r="13" spans="1:10">
      <c r="A13" s="12"/>
      <c r="B13" s="2"/>
      <c r="D13" s="40"/>
      <c r="E13" s="40"/>
      <c r="F13" s="41"/>
    </row>
    <row r="14" spans="1:10">
      <c r="A14" s="12"/>
      <c r="B14" s="2"/>
      <c r="D14" s="40"/>
      <c r="E14" s="40"/>
      <c r="F14" s="41"/>
    </row>
    <row r="15" spans="1:10">
      <c r="A15" s="12"/>
      <c r="B15" s="2"/>
      <c r="D15" s="40"/>
      <c r="E15" s="40"/>
      <c r="F15" s="41"/>
    </row>
    <row r="16" spans="1:10">
      <c r="B16" s="2"/>
      <c r="D16" s="40"/>
      <c r="E16" s="40"/>
      <c r="F16" s="41"/>
    </row>
    <row r="17" spans="2:6">
      <c r="B17" s="2"/>
      <c r="D17" s="40"/>
      <c r="E17" s="40"/>
      <c r="F17" s="41"/>
    </row>
    <row r="18" spans="2:6">
      <c r="B18" s="2"/>
      <c r="D18" s="40"/>
      <c r="E18" s="40"/>
      <c r="F18" s="41"/>
    </row>
    <row r="19" spans="2:6">
      <c r="B19" s="2"/>
      <c r="D19" s="40"/>
      <c r="E19" s="40"/>
      <c r="F19" s="41"/>
    </row>
    <row r="20" spans="2:6">
      <c r="B20" s="2"/>
      <c r="D20" s="40"/>
      <c r="E20" s="40"/>
      <c r="F20" s="41"/>
    </row>
    <row r="21" spans="2:6">
      <c r="B21" s="2"/>
      <c r="D21" s="40"/>
      <c r="E21" s="40"/>
      <c r="F21" s="41"/>
    </row>
    <row r="22" spans="2:6">
      <c r="B22" s="2"/>
      <c r="D22" s="40"/>
      <c r="E22" s="40"/>
      <c r="F22" s="41"/>
    </row>
    <row r="23" spans="2:6">
      <c r="B23" s="2"/>
      <c r="D23" s="40"/>
      <c r="E23" s="40"/>
      <c r="F23" s="41"/>
    </row>
    <row r="24" spans="2:6">
      <c r="B24" s="2"/>
      <c r="D24" s="40"/>
      <c r="E24" s="40"/>
      <c r="F24" s="41"/>
    </row>
    <row r="25" spans="2:6">
      <c r="B25" s="2"/>
      <c r="D25" s="40"/>
      <c r="E25" s="40"/>
      <c r="F25" s="41"/>
    </row>
    <row r="26" spans="2:6">
      <c r="B26" s="2"/>
      <c r="D26" s="40"/>
      <c r="E26" s="40"/>
      <c r="F26" s="41"/>
    </row>
    <row r="27" spans="2:6">
      <c r="B27" s="2"/>
      <c r="D27" s="40"/>
      <c r="E27" s="40"/>
      <c r="F27" s="41"/>
    </row>
    <row r="28" spans="2:6">
      <c r="B28" s="2"/>
      <c r="D28" s="40"/>
      <c r="E28" s="40"/>
      <c r="F28" s="41"/>
    </row>
    <row r="29" spans="2:6">
      <c r="B29" s="2"/>
      <c r="D29" s="40"/>
      <c r="E29" s="40"/>
      <c r="F29" s="41"/>
    </row>
    <row r="30" spans="2:6">
      <c r="B30" s="2"/>
      <c r="D30" s="40"/>
      <c r="E30" s="40"/>
      <c r="F30" s="41"/>
    </row>
    <row r="31" spans="2:6">
      <c r="B31" s="2"/>
      <c r="D31" s="40"/>
      <c r="E31" s="40"/>
      <c r="F31" s="41"/>
    </row>
    <row r="32" spans="2:6">
      <c r="B32" s="2"/>
      <c r="D32" s="40"/>
      <c r="E32" s="40"/>
      <c r="F32" s="41"/>
    </row>
  </sheetData>
  <mergeCells count="1">
    <mergeCell ref="B2:C2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G5"/>
  <sheetViews>
    <sheetView workbookViewId="0">
      <selection activeCell="C5" sqref="C5"/>
    </sheetView>
  </sheetViews>
  <sheetFormatPr defaultRowHeight="12.75"/>
  <cols>
    <col min="1" max="1" width="9.140625" style="1"/>
    <col min="2" max="2" width="9.140625" style="2"/>
    <col min="3" max="3" width="23.140625" style="1" customWidth="1"/>
    <col min="4" max="4" width="8.42578125" style="139" bestFit="1" customWidth="1"/>
    <col min="5" max="5" width="9.85546875" style="1" customWidth="1"/>
    <col min="6" max="6" width="9.7109375" style="1" customWidth="1"/>
    <col min="7" max="16384" width="9.140625" style="1"/>
  </cols>
  <sheetData>
    <row r="2" spans="2:7">
      <c r="B2" s="153" t="s">
        <v>65</v>
      </c>
      <c r="C2" s="153"/>
      <c r="D2" s="138"/>
      <c r="E2" s="33"/>
      <c r="F2" s="33"/>
      <c r="G2" s="42"/>
    </row>
    <row r="3" spans="2:7">
      <c r="B3" s="38" t="s">
        <v>6</v>
      </c>
      <c r="C3" s="11" t="s">
        <v>7</v>
      </c>
      <c r="D3" s="140" t="s">
        <v>9</v>
      </c>
      <c r="F3" s="119" t="s">
        <v>56</v>
      </c>
      <c r="G3" s="120">
        <f>SUM(B4:B104)</f>
        <v>500</v>
      </c>
    </row>
    <row r="4" spans="2:7">
      <c r="B4" s="2">
        <v>500</v>
      </c>
      <c r="C4" s="1" t="s">
        <v>75</v>
      </c>
      <c r="D4" s="139">
        <v>39134</v>
      </c>
      <c r="E4" s="43"/>
      <c r="F4" s="44"/>
      <c r="G4" s="16"/>
    </row>
    <row r="5" spans="2:7">
      <c r="F5" s="16"/>
      <c r="G5" s="16"/>
    </row>
  </sheetData>
  <mergeCells count="1">
    <mergeCell ref="B2:C2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H31"/>
  <sheetViews>
    <sheetView workbookViewId="0">
      <selection activeCell="B37" sqref="B37"/>
    </sheetView>
  </sheetViews>
  <sheetFormatPr defaultRowHeight="12.75"/>
  <cols>
    <col min="1" max="1" width="9.140625" style="1"/>
    <col min="2" max="2" width="8" style="2" customWidth="1"/>
    <col min="3" max="3" width="16" style="1" customWidth="1"/>
    <col min="4" max="4" width="8.28515625" style="46" customWidth="1"/>
    <col min="5" max="5" width="7.7109375" style="139" customWidth="1"/>
    <col min="6" max="7" width="11.5703125" style="1" customWidth="1"/>
    <col min="8" max="8" width="10.140625" style="1" bestFit="1" customWidth="1"/>
    <col min="9" max="9" width="7" style="1" customWidth="1"/>
    <col min="10" max="10" width="13.85546875" style="1" customWidth="1"/>
    <col min="11" max="11" width="10.28515625" style="1" customWidth="1"/>
    <col min="12" max="12" width="6" style="1" customWidth="1"/>
    <col min="13" max="13" width="18.42578125" style="1" customWidth="1"/>
    <col min="14" max="14" width="19.42578125" style="1" customWidth="1"/>
    <col min="15" max="15" width="13.28515625" style="1" customWidth="1"/>
    <col min="16" max="16" width="15.42578125" style="1" customWidth="1"/>
    <col min="17" max="17" width="11.28515625" style="1" customWidth="1"/>
    <col min="18" max="18" width="12.42578125" style="1" customWidth="1"/>
    <col min="19" max="19" width="14.42578125" style="1" customWidth="1"/>
    <col min="20" max="20" width="7.28515625" style="1" customWidth="1"/>
    <col min="21" max="21" width="13" style="1" customWidth="1"/>
    <col min="22" max="22" width="18.85546875" style="1" customWidth="1"/>
    <col min="23" max="23" width="9.42578125" style="1" customWidth="1"/>
    <col min="24" max="24" width="7.5703125" style="1" customWidth="1"/>
    <col min="25" max="25" width="8.7109375" style="1" customWidth="1"/>
    <col min="26" max="26" width="20.85546875" style="1" customWidth="1"/>
    <col min="27" max="27" width="11" style="1" customWidth="1"/>
    <col min="28" max="28" width="8.140625" style="1" customWidth="1"/>
    <col min="29" max="29" width="10.5703125" style="1" customWidth="1"/>
    <col min="30" max="30" width="11.85546875" style="1" customWidth="1"/>
    <col min="31" max="31" width="13" style="1" customWidth="1"/>
    <col min="32" max="32" width="17.5703125" style="1" customWidth="1"/>
    <col min="33" max="33" width="18.85546875" style="1" customWidth="1"/>
    <col min="34" max="34" width="23.42578125" style="1" customWidth="1"/>
    <col min="35" max="35" width="9.42578125" style="1" customWidth="1"/>
    <col min="36" max="36" width="14" style="1" customWidth="1"/>
    <col min="37" max="37" width="7.5703125" style="1" customWidth="1"/>
    <col min="38" max="38" width="12.140625" style="1" customWidth="1"/>
    <col min="39" max="39" width="8.7109375" style="1" customWidth="1"/>
    <col min="40" max="40" width="13.28515625" style="1" customWidth="1"/>
    <col min="41" max="41" width="20.85546875" style="1" customWidth="1"/>
    <col min="42" max="42" width="25.42578125" style="1" customWidth="1"/>
    <col min="43" max="43" width="11" style="1" customWidth="1"/>
    <col min="44" max="44" width="15.5703125" style="1" customWidth="1"/>
    <col min="45" max="45" width="8.140625" style="1" customWidth="1"/>
    <col min="46" max="46" width="12.7109375" style="1" customWidth="1"/>
    <col min="47" max="47" width="10.5703125" style="1" customWidth="1"/>
    <col min="48" max="16384" width="9.140625" style="1"/>
  </cols>
  <sheetData>
    <row r="2" spans="1:8">
      <c r="B2" s="3" t="s">
        <v>15</v>
      </c>
      <c r="C2" s="4"/>
      <c r="D2" s="45"/>
      <c r="E2" s="138"/>
      <c r="G2" s="1" t="s">
        <v>58</v>
      </c>
    </row>
    <row r="3" spans="1:8">
      <c r="A3" s="11"/>
      <c r="B3" s="38" t="s">
        <v>6</v>
      </c>
      <c r="C3" s="11" t="s">
        <v>66</v>
      </c>
      <c r="D3" s="39" t="s">
        <v>67</v>
      </c>
      <c r="E3" s="137" t="s">
        <v>9</v>
      </c>
      <c r="G3" s="116" t="s">
        <v>62</v>
      </c>
      <c r="H3" s="121">
        <f>SUM(B4:B104)</f>
        <v>500</v>
      </c>
    </row>
    <row r="4" spans="1:8">
      <c r="A4" s="12"/>
      <c r="B4" s="2">
        <v>500</v>
      </c>
      <c r="C4" s="1" t="s">
        <v>76</v>
      </c>
      <c r="D4" s="46" t="s">
        <v>77</v>
      </c>
      <c r="E4" s="139">
        <v>39200</v>
      </c>
      <c r="G4" s="117" t="s">
        <v>68</v>
      </c>
      <c r="H4" s="118">
        <f ca="1">OFFSET(Budget_2007!C8,MONTH(NOW()),0)</f>
        <v>500</v>
      </c>
    </row>
    <row r="5" spans="1:8">
      <c r="A5" s="12"/>
    </row>
    <row r="6" spans="1:8">
      <c r="A6" s="12"/>
      <c r="G6" s="47"/>
      <c r="H6" s="13"/>
    </row>
    <row r="7" spans="1:8">
      <c r="A7" s="12"/>
      <c r="G7" s="47"/>
      <c r="H7" s="129"/>
    </row>
    <row r="8" spans="1:8">
      <c r="A8" s="12"/>
    </row>
    <row r="9" spans="1:8">
      <c r="A9" s="12"/>
      <c r="C9" s="21"/>
    </row>
    <row r="10" spans="1:8">
      <c r="A10" s="12"/>
    </row>
    <row r="11" spans="1:8">
      <c r="A11" s="12"/>
      <c r="C11" s="21"/>
    </row>
    <row r="12" spans="1:8">
      <c r="A12" s="12"/>
      <c r="B12" s="32"/>
      <c r="C12" s="33"/>
      <c r="D12" s="141"/>
      <c r="E12" s="142"/>
      <c r="F12" s="33"/>
      <c r="G12" s="33"/>
    </row>
    <row r="13" spans="1:8">
      <c r="A13" s="12"/>
      <c r="B13" s="32"/>
      <c r="C13" s="33"/>
      <c r="D13" s="141"/>
      <c r="E13" s="142"/>
      <c r="F13" s="33"/>
      <c r="G13" s="33"/>
    </row>
    <row r="14" spans="1:8">
      <c r="A14" s="12"/>
      <c r="B14" s="32"/>
      <c r="C14" s="143"/>
      <c r="D14" s="141"/>
      <c r="E14" s="142"/>
      <c r="F14" s="33"/>
      <c r="G14" s="33"/>
    </row>
    <row r="15" spans="1:8">
      <c r="A15" s="12"/>
      <c r="B15" s="32"/>
      <c r="C15" s="33"/>
      <c r="D15" s="141"/>
      <c r="E15" s="142"/>
      <c r="F15" s="33"/>
      <c r="G15" s="33"/>
    </row>
    <row r="16" spans="1:8">
      <c r="A16" s="12"/>
      <c r="B16" s="32"/>
      <c r="C16" s="33"/>
      <c r="D16" s="141"/>
      <c r="E16" s="142"/>
      <c r="F16" s="33"/>
      <c r="G16" s="33"/>
    </row>
    <row r="17" spans="1:7">
      <c r="A17" s="12"/>
      <c r="B17" s="32"/>
      <c r="C17" s="33"/>
      <c r="D17" s="141"/>
      <c r="E17" s="142"/>
      <c r="F17" s="33"/>
      <c r="G17" s="33"/>
    </row>
    <row r="18" spans="1:7">
      <c r="A18" s="12"/>
      <c r="B18" s="32"/>
      <c r="C18" s="33"/>
      <c r="D18" s="141"/>
      <c r="E18" s="142"/>
      <c r="F18" s="33"/>
      <c r="G18" s="33"/>
    </row>
    <row r="19" spans="1:7">
      <c r="A19" s="12"/>
      <c r="B19" s="32"/>
      <c r="C19" s="33"/>
      <c r="D19" s="141"/>
      <c r="E19" s="142"/>
      <c r="F19" s="33"/>
      <c r="G19" s="33"/>
    </row>
    <row r="20" spans="1:7">
      <c r="A20" s="12"/>
      <c r="B20" s="32"/>
      <c r="C20" s="33"/>
      <c r="D20" s="141"/>
      <c r="E20" s="142"/>
      <c r="F20" s="33"/>
      <c r="G20" s="33"/>
    </row>
    <row r="21" spans="1:7">
      <c r="A21" s="12"/>
      <c r="B21" s="32"/>
      <c r="C21" s="33"/>
      <c r="D21" s="141"/>
      <c r="E21" s="142"/>
      <c r="F21" s="33"/>
      <c r="G21" s="33"/>
    </row>
    <row r="22" spans="1:7">
      <c r="A22" s="12"/>
      <c r="B22" s="32"/>
      <c r="C22" s="33"/>
      <c r="D22" s="141"/>
      <c r="E22" s="142"/>
      <c r="F22" s="33"/>
      <c r="G22" s="33"/>
    </row>
    <row r="23" spans="1:7">
      <c r="A23" s="12"/>
      <c r="B23" s="32"/>
      <c r="C23" s="33"/>
      <c r="D23" s="141"/>
      <c r="E23" s="142"/>
      <c r="F23" s="33"/>
      <c r="G23" s="33"/>
    </row>
    <row r="24" spans="1:7">
      <c r="A24" s="12"/>
      <c r="B24" s="32"/>
      <c r="C24" s="33"/>
      <c r="D24" s="141"/>
      <c r="E24" s="142"/>
      <c r="F24" s="33"/>
      <c r="G24" s="33"/>
    </row>
    <row r="25" spans="1:7">
      <c r="A25" s="12"/>
      <c r="B25" s="32"/>
      <c r="C25" s="33"/>
      <c r="D25" s="141"/>
      <c r="E25" s="142"/>
      <c r="F25" s="33"/>
      <c r="G25" s="33"/>
    </row>
    <row r="26" spans="1:7">
      <c r="A26" s="12"/>
      <c r="B26" s="32"/>
      <c r="C26" s="33"/>
      <c r="D26" s="141"/>
      <c r="E26" s="142"/>
      <c r="F26" s="33"/>
      <c r="G26" s="33"/>
    </row>
    <row r="27" spans="1:7">
      <c r="A27" s="12"/>
      <c r="B27" s="32"/>
      <c r="C27" s="33"/>
      <c r="D27" s="141"/>
      <c r="E27" s="142"/>
      <c r="F27" s="33"/>
      <c r="G27" s="33"/>
    </row>
    <row r="28" spans="1:7">
      <c r="A28" s="12"/>
    </row>
    <row r="29" spans="1:7">
      <c r="A29" s="12"/>
    </row>
    <row r="30" spans="1:7">
      <c r="A30" s="12"/>
    </row>
    <row r="31" spans="1:7">
      <c r="A31" s="12"/>
    </row>
  </sheetData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Budget_2007</vt:lpstr>
      <vt:lpstr>Monthly_Exp</vt:lpstr>
      <vt:lpstr>Annual_Exp</vt:lpstr>
      <vt:lpstr>Income_Transfers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2007</dc:title>
  <dc:subject>Financial</dc:subject>
  <dc:creator/>
  <cp:keywords>budget, 2007</cp:keywords>
  <cp:lastModifiedBy/>
  <dcterms:created xsi:type="dcterms:W3CDTF">2007-04-24T05:21:11Z</dcterms:created>
  <dcterms:modified xsi:type="dcterms:W3CDTF">2007-04-29T09:40:02Z</dcterms:modified>
  <cp:category>Financial</cp:category>
  <cp:contentStatus>In progress</cp:contentStatus>
</cp:coreProperties>
</file>